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3.xml" ContentType="application/vnd.openxmlformats-officedocument.drawing+xml"/>
  <Override PartName="/xl/tables/table19.xml" ContentType="application/vnd.openxmlformats-officedocument.spreadsheetml.table+xml"/>
  <Override PartName="/xl/ink/ink1.xml" ContentType="application/inkml+xml"/>
  <Override PartName="/xl/ink/ink2.xml" ContentType="application/inkml+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20.xml" ContentType="application/vnd.openxmlformats-officedocument.spreadsheetml.table+xml"/>
  <Override PartName="/xl/drawings/drawing7.xml" ContentType="application/vnd.openxmlformats-officedocument.drawing+xml"/>
  <Override PartName="/xl/tables/table21.xml" ContentType="application/vnd.openxmlformats-officedocument.spreadsheetml.table+xml"/>
  <Override PartName="/xl/drawings/drawing8.xml" ContentType="application/vnd.openxmlformats-officedocument.drawing+xml"/>
  <Override PartName="/xl/tables/table22.xml" ContentType="application/vnd.openxmlformats-officedocument.spreadsheetml.table+xml"/>
  <Override PartName="/xl/drawings/drawing9.xml" ContentType="application/vnd.openxmlformats-officedocument.drawing+xml"/>
  <Override PartName="/xl/tables/table23.xml" ContentType="application/vnd.openxmlformats-officedocument.spreadsheetml.table+xml"/>
  <Override PartName="/xl/drawings/drawing10.xml" ContentType="application/vnd.openxmlformats-officedocument.drawing+xml"/>
  <Override PartName="/xl/tables/table24.xml" ContentType="application/vnd.openxmlformats-officedocument.spreadsheetml.table+xml"/>
  <Override PartName="/xl/drawings/drawing11.xml" ContentType="application/vnd.openxmlformats-officedocument.drawing+xml"/>
  <Override PartName="/xl/tables/table25.xml" ContentType="application/vnd.openxmlformats-officedocument.spreadsheetml.table+xml"/>
  <Override PartName="/xl/drawings/drawing12.xml" ContentType="application/vnd.openxmlformats-officedocument.drawing+xml"/>
  <Override PartName="/xl/tables/table26.xml" ContentType="application/vnd.openxmlformats-officedocument.spreadsheetml.table+xml"/>
  <Override PartName="/xl/drawings/drawing13.xml" ContentType="application/vnd.openxmlformats-officedocument.drawing+xml"/>
  <Override PartName="/xl/tables/table27.xml" ContentType="application/vnd.openxmlformats-officedocument.spreadsheetml.table+xml"/>
  <Override PartName="/xl/drawings/drawing14.xml" ContentType="application/vnd.openxmlformats-officedocument.drawing+xml"/>
  <Override PartName="/xl/tables/table28.xml" ContentType="application/vnd.openxmlformats-officedocument.spreadsheetml.table+xml"/>
  <Override PartName="/xl/drawings/drawing15.xml" ContentType="application/vnd.openxmlformats-officedocument.drawing+xml"/>
  <Override PartName="/xl/tables/table29.xml" ContentType="application/vnd.openxmlformats-officedocument.spreadsheetml.table+xml"/>
  <Override PartName="/xl/drawings/drawing16.xml" ContentType="application/vnd.openxmlformats-officedocument.drawing+xml"/>
  <Override PartName="/xl/tables/table30.xml" ContentType="application/vnd.openxmlformats-officedocument.spreadsheetml.table+xml"/>
  <Override PartName="/xl/drawings/drawing17.xml" ContentType="application/vnd.openxmlformats-officedocument.drawing+xml"/>
  <Override PartName="/xl/tables/table31.xml" ContentType="application/vnd.openxmlformats-officedocument.spreadsheetml.table+xml"/>
  <Override PartName="/xl/drawings/drawing18.xml" ContentType="application/vnd.openxmlformats-officedocument.drawing+xml"/>
  <Override PartName="/xl/tables/table32.xml" ContentType="application/vnd.openxmlformats-officedocument.spreadsheetml.table+xml"/>
  <Override PartName="/xl/drawings/drawing19.xml" ContentType="application/vnd.openxmlformats-officedocument.drawing+xml"/>
  <Override PartName="/xl/tables/table33.xml" ContentType="application/vnd.openxmlformats-officedocument.spreadsheetml.table+xml"/>
  <Override PartName="/xl/drawings/drawing20.xml" ContentType="application/vnd.openxmlformats-officedocument.drawing+xml"/>
  <Override PartName="/xl/tables/table34.xml" ContentType="application/vnd.openxmlformats-officedocument.spreadsheetml.table+xml"/>
  <Override PartName="/xl/drawings/drawing21.xml" ContentType="application/vnd.openxmlformats-officedocument.drawing+xml"/>
  <Override PartName="/xl/tables/table35.xml" ContentType="application/vnd.openxmlformats-officedocument.spreadsheetml.table+xml"/>
  <Override PartName="/xl/drawings/drawing22.xml" ContentType="application/vnd.openxmlformats-officedocument.drawing+xml"/>
  <Override PartName="/xl/tables/table36.xml" ContentType="application/vnd.openxmlformats-officedocument.spreadsheetml.table+xml"/>
  <Override PartName="/xl/drawings/drawing23.xml" ContentType="application/vnd.openxmlformats-officedocument.drawing+xml"/>
  <Override PartName="/xl/tables/table3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HP\Downloads\"/>
    </mc:Choice>
  </mc:AlternateContent>
  <xr:revisionPtr revIDLastSave="0" documentId="13_ncr:1_{EBFEEF78-A8CD-4901-BE10-3C3297E06CD7}" xr6:coauthVersionLast="47" xr6:coauthVersionMax="47" xr10:uidLastSave="{00000000-0000-0000-0000-000000000000}"/>
  <bookViews>
    <workbookView xWindow="-110" yWindow="-110" windowWidth="19420" windowHeight="10300" activeTab="2" xr2:uid="{00000000-000D-0000-FFFF-FFFF00000000}"/>
  </bookViews>
  <sheets>
    <sheet name="NC Schedule" sheetId="39" r:id="rId1"/>
    <sheet name="Plan-NCCC" sheetId="98" state="hidden" r:id="rId2"/>
    <sheet name="Instruction " sheetId="63" r:id="rId3"/>
    <sheet name="Chart" sheetId="97" r:id="rId4"/>
    <sheet name="Summary" sheetId="61" r:id="rId5"/>
    <sheet name="#1" sheetId="41" r:id="rId6"/>
    <sheet name="#2" sheetId="64" r:id="rId7"/>
    <sheet name="#3" sheetId="65" r:id="rId8"/>
    <sheet name="#4" sheetId="66" r:id="rId9"/>
    <sheet name="#5" sheetId="67" r:id="rId10"/>
    <sheet name="#6" sheetId="80" r:id="rId11"/>
    <sheet name="#7" sheetId="82" r:id="rId12"/>
    <sheet name="#8" sheetId="81" r:id="rId13"/>
    <sheet name="#9" sheetId="93" r:id="rId14"/>
    <sheet name="#10" sheetId="83" r:id="rId15"/>
    <sheet name="#11" sheetId="84" r:id="rId16"/>
    <sheet name="#12" sheetId="86" r:id="rId17"/>
    <sheet name="#13" sheetId="90" r:id="rId18"/>
    <sheet name="#14" sheetId="89" r:id="rId19"/>
    <sheet name="#15" sheetId="88" r:id="rId20"/>
    <sheet name="#16" sheetId="87" r:id="rId21"/>
    <sheet name="#17" sheetId="91" r:id="rId22"/>
    <sheet name="#18" sheetId="92" r:id="rId23"/>
  </sheets>
  <definedNames>
    <definedName name="_xlnm.Print_Area" localSheetId="16">'#12'!$A$1:$AH$14</definedName>
    <definedName name="_xlnm.Print_Titles" localSheetId="5">'#1'!$1:$4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84" l="1"/>
  <c r="L10" i="87"/>
  <c r="M10" i="86"/>
  <c r="M11" i="86"/>
  <c r="M12" i="86"/>
  <c r="C17" i="61"/>
  <c r="E6" i="98"/>
  <c r="E6" i="61"/>
  <c r="E6" i="97"/>
  <c r="E5" i="61"/>
  <c r="E5" i="97"/>
  <c r="E4" i="61"/>
  <c r="E4" i="97"/>
  <c r="E3" i="61"/>
  <c r="E3" i="97"/>
  <c r="E2" i="61"/>
  <c r="E2" i="97"/>
  <c r="E5" i="98"/>
  <c r="E3" i="98"/>
  <c r="C4" i="61"/>
  <c r="C3" i="61"/>
  <c r="C4" i="97"/>
  <c r="C3" i="97"/>
  <c r="C2" i="97"/>
  <c r="E4" i="98"/>
  <c r="C4" i="98"/>
  <c r="C3" i="98"/>
  <c r="C2" i="98"/>
  <c r="C2" i="61"/>
  <c r="W13" i="63"/>
  <c r="V13" i="63"/>
  <c r="S13" i="63"/>
  <c r="R13" i="63"/>
  <c r="O13" i="63"/>
  <c r="N13" i="63"/>
  <c r="K13" i="63"/>
  <c r="J13" i="63"/>
  <c r="P12" i="63"/>
  <c r="Y12" i="63"/>
  <c r="U12" i="63"/>
  <c r="X12" i="63" s="1"/>
  <c r="Q12" i="63"/>
  <c r="T12" i="63" s="1"/>
  <c r="M12" i="63"/>
  <c r="I12" i="63"/>
  <c r="U11" i="63"/>
  <c r="Q11" i="63"/>
  <c r="T11" i="63" s="1"/>
  <c r="M11" i="63"/>
  <c r="P11" i="63" s="1"/>
  <c r="I11" i="63"/>
  <c r="L11" i="63" s="1"/>
  <c r="Q13" i="63" l="1"/>
  <c r="T13" i="63" s="1"/>
  <c r="I13" i="63"/>
  <c r="L13" i="63" s="1"/>
  <c r="M13" i="63"/>
  <c r="Y11" i="63"/>
  <c r="X11" i="63"/>
  <c r="L12" i="63"/>
  <c r="U13" i="63"/>
  <c r="P13" i="63" l="1"/>
  <c r="Y13" i="63"/>
  <c r="X13" i="63"/>
  <c r="S133" i="98" l="1"/>
  <c r="R133" i="98"/>
  <c r="O133" i="98"/>
  <c r="N133" i="98"/>
  <c r="K133" i="98"/>
  <c r="J133" i="98"/>
  <c r="I133" i="98" s="1"/>
  <c r="S132" i="98"/>
  <c r="R132" i="98"/>
  <c r="Q130" i="98" s="1"/>
  <c r="O132" i="98"/>
  <c r="N132" i="98"/>
  <c r="K132" i="98"/>
  <c r="J132" i="98"/>
  <c r="S131" i="98"/>
  <c r="Q131" i="98" s="1"/>
  <c r="T131" i="98" s="1"/>
  <c r="O131" i="98"/>
  <c r="M131" i="98"/>
  <c r="P131" i="98" s="1"/>
  <c r="I131" i="98"/>
  <c r="L131" i="98" s="1"/>
  <c r="S130" i="98"/>
  <c r="R130" i="98"/>
  <c r="O130" i="98"/>
  <c r="N130" i="98"/>
  <c r="K130" i="98"/>
  <c r="J130" i="98"/>
  <c r="T129" i="98"/>
  <c r="S129" i="98"/>
  <c r="M129" i="98"/>
  <c r="I129" i="98"/>
  <c r="L129" i="98" s="1"/>
  <c r="S126" i="98"/>
  <c r="R126" i="98"/>
  <c r="O126" i="98"/>
  <c r="N126" i="98"/>
  <c r="M126" i="98" s="1"/>
  <c r="K126" i="98"/>
  <c r="K127" i="98" s="1"/>
  <c r="J126" i="98"/>
  <c r="S125" i="98"/>
  <c r="R125" i="98"/>
  <c r="O125" i="98"/>
  <c r="N125" i="98"/>
  <c r="K125" i="98"/>
  <c r="J125" i="98"/>
  <c r="S124" i="98"/>
  <c r="Q124" i="98" s="1"/>
  <c r="T124" i="98" s="1"/>
  <c r="O124" i="98"/>
  <c r="M124" i="98" s="1"/>
  <c r="P124" i="98" s="1"/>
  <c r="I124" i="98"/>
  <c r="L124" i="98" s="1"/>
  <c r="S123" i="98"/>
  <c r="R123" i="98"/>
  <c r="O123" i="98"/>
  <c r="N123" i="98"/>
  <c r="K123" i="98"/>
  <c r="J123" i="98"/>
  <c r="S122" i="98"/>
  <c r="M122" i="98"/>
  <c r="P122" i="98" s="1"/>
  <c r="I122" i="98"/>
  <c r="L122" i="98" s="1"/>
  <c r="S119" i="98"/>
  <c r="R119" i="98"/>
  <c r="O119" i="98"/>
  <c r="N119" i="98"/>
  <c r="K119" i="98"/>
  <c r="J119" i="98"/>
  <c r="S118" i="98"/>
  <c r="R118" i="98"/>
  <c r="O118" i="98"/>
  <c r="N118" i="98"/>
  <c r="K118" i="98"/>
  <c r="J118" i="98"/>
  <c r="S117" i="98"/>
  <c r="Q117" i="98" s="1"/>
  <c r="T117" i="98" s="1"/>
  <c r="O117" i="98"/>
  <c r="M117" i="98" s="1"/>
  <c r="P117" i="98" s="1"/>
  <c r="L117" i="98"/>
  <c r="I117" i="98"/>
  <c r="S116" i="98"/>
  <c r="R116" i="98"/>
  <c r="O116" i="98"/>
  <c r="N116" i="98"/>
  <c r="K116" i="98"/>
  <c r="J116" i="98"/>
  <c r="S115" i="98"/>
  <c r="Q115" i="98" s="1"/>
  <c r="M115" i="98"/>
  <c r="I115" i="98"/>
  <c r="L115" i="98" s="1"/>
  <c r="S112" i="98"/>
  <c r="R112" i="98"/>
  <c r="O112" i="98"/>
  <c r="N112" i="98"/>
  <c r="K112" i="98"/>
  <c r="J112" i="98"/>
  <c r="S111" i="98"/>
  <c r="R111" i="98"/>
  <c r="Q111" i="98" s="1"/>
  <c r="O111" i="98"/>
  <c r="N111" i="98"/>
  <c r="K111" i="98"/>
  <c r="J111" i="98"/>
  <c r="S110" i="98"/>
  <c r="Q110" i="98" s="1"/>
  <c r="T110" i="98" s="1"/>
  <c r="O110" i="98"/>
  <c r="M110" i="98" s="1"/>
  <c r="P110" i="98" s="1"/>
  <c r="L110" i="98"/>
  <c r="I110" i="98"/>
  <c r="S109" i="98"/>
  <c r="R109" i="98"/>
  <c r="O109" i="98"/>
  <c r="N109" i="98"/>
  <c r="K109" i="98"/>
  <c r="J109" i="98"/>
  <c r="S108" i="98"/>
  <c r="Q108" i="98" s="1"/>
  <c r="T108" i="98" s="1"/>
  <c r="M108" i="98"/>
  <c r="I108" i="98"/>
  <c r="S105" i="98"/>
  <c r="R105" i="98"/>
  <c r="O105" i="98"/>
  <c r="N105" i="98"/>
  <c r="K105" i="98"/>
  <c r="J105" i="98"/>
  <c r="S104" i="98"/>
  <c r="R104" i="98"/>
  <c r="O104" i="98"/>
  <c r="N104" i="98"/>
  <c r="K104" i="98"/>
  <c r="J104" i="98"/>
  <c r="S103" i="98"/>
  <c r="Q103" i="98"/>
  <c r="T103" i="98" s="1"/>
  <c r="O103" i="98"/>
  <c r="M103" i="98" s="1"/>
  <c r="P103" i="98" s="1"/>
  <c r="L103" i="98"/>
  <c r="I103" i="98"/>
  <c r="S102" i="98"/>
  <c r="R102" i="98"/>
  <c r="O102" i="98"/>
  <c r="N102" i="98"/>
  <c r="K102" i="98"/>
  <c r="J102" i="98"/>
  <c r="S101" i="98"/>
  <c r="M101" i="98"/>
  <c r="I101" i="98"/>
  <c r="L101" i="98" s="1"/>
  <c r="S98" i="98"/>
  <c r="R98" i="98"/>
  <c r="O98" i="98"/>
  <c r="N98" i="98"/>
  <c r="K98" i="98"/>
  <c r="J98" i="98"/>
  <c r="S97" i="98"/>
  <c r="R97" i="98"/>
  <c r="O97" i="98"/>
  <c r="N97" i="98"/>
  <c r="K97" i="98"/>
  <c r="J97" i="98"/>
  <c r="S96" i="98"/>
  <c r="Q96" i="98" s="1"/>
  <c r="T96" i="98" s="1"/>
  <c r="O96" i="98"/>
  <c r="M96" i="98" s="1"/>
  <c r="P96" i="98" s="1"/>
  <c r="I96" i="98"/>
  <c r="L96" i="98" s="1"/>
  <c r="S95" i="98"/>
  <c r="R95" i="98"/>
  <c r="O95" i="98"/>
  <c r="N95" i="98"/>
  <c r="K95" i="98"/>
  <c r="J95" i="98"/>
  <c r="S94" i="98"/>
  <c r="P94" i="98"/>
  <c r="M94" i="98"/>
  <c r="I94" i="98"/>
  <c r="L94" i="98" s="1"/>
  <c r="S91" i="98"/>
  <c r="R91" i="98"/>
  <c r="O91" i="98"/>
  <c r="N91" i="98"/>
  <c r="K91" i="98"/>
  <c r="J91" i="98"/>
  <c r="S90" i="98"/>
  <c r="R90" i="98"/>
  <c r="O90" i="98"/>
  <c r="N90" i="98"/>
  <c r="K90" i="98"/>
  <c r="J90" i="98"/>
  <c r="S89" i="98"/>
  <c r="Q89" i="98" s="1"/>
  <c r="T89" i="98" s="1"/>
  <c r="O89" i="98"/>
  <c r="M89" i="98" s="1"/>
  <c r="P89" i="98" s="1"/>
  <c r="L89" i="98"/>
  <c r="I89" i="98"/>
  <c r="S88" i="98"/>
  <c r="R88" i="98"/>
  <c r="O88" i="98"/>
  <c r="N88" i="98"/>
  <c r="K88" i="98"/>
  <c r="J88" i="98"/>
  <c r="S87" i="98"/>
  <c r="Q87" i="98" s="1"/>
  <c r="M87" i="98"/>
  <c r="I87" i="98"/>
  <c r="S84" i="98"/>
  <c r="R84" i="98"/>
  <c r="O84" i="98"/>
  <c r="N84" i="98"/>
  <c r="K84" i="98"/>
  <c r="J84" i="98"/>
  <c r="S83" i="98"/>
  <c r="R83" i="98"/>
  <c r="O83" i="98"/>
  <c r="N83" i="98"/>
  <c r="M81" i="98" s="1"/>
  <c r="K83" i="98"/>
  <c r="J83" i="98"/>
  <c r="S82" i="98"/>
  <c r="Q82" i="98" s="1"/>
  <c r="T82" i="98" s="1"/>
  <c r="O82" i="98"/>
  <c r="M82" i="98" s="1"/>
  <c r="P82" i="98" s="1"/>
  <c r="L82" i="98"/>
  <c r="I82" i="98"/>
  <c r="S81" i="98"/>
  <c r="R81" i="98"/>
  <c r="O81" i="98"/>
  <c r="N81" i="98"/>
  <c r="K81" i="98"/>
  <c r="J81" i="98"/>
  <c r="S80" i="98"/>
  <c r="Q80" i="98" s="1"/>
  <c r="T80" i="98" s="1"/>
  <c r="M80" i="98"/>
  <c r="I80" i="98"/>
  <c r="S77" i="98"/>
  <c r="R77" i="98"/>
  <c r="O77" i="98"/>
  <c r="N77" i="98"/>
  <c r="K77" i="98"/>
  <c r="J77" i="98"/>
  <c r="S76" i="98"/>
  <c r="R76" i="98"/>
  <c r="Q76" i="98" s="1"/>
  <c r="T76" i="98" s="1"/>
  <c r="O76" i="98"/>
  <c r="N76" i="98"/>
  <c r="K76" i="98"/>
  <c r="J76" i="98"/>
  <c r="S75" i="98"/>
  <c r="Q75" i="98" s="1"/>
  <c r="T75" i="98" s="1"/>
  <c r="O75" i="98"/>
  <c r="M75" i="98" s="1"/>
  <c r="P75" i="98" s="1"/>
  <c r="L75" i="98"/>
  <c r="I75" i="98"/>
  <c r="S74" i="98"/>
  <c r="R74" i="98"/>
  <c r="O74" i="98"/>
  <c r="N74" i="98"/>
  <c r="K74" i="98"/>
  <c r="J74" i="98"/>
  <c r="S73" i="98"/>
  <c r="Q73" i="98" s="1"/>
  <c r="M73" i="98"/>
  <c r="I73" i="98"/>
  <c r="L73" i="98" s="1"/>
  <c r="S70" i="98"/>
  <c r="R70" i="98"/>
  <c r="O70" i="98"/>
  <c r="N70" i="98"/>
  <c r="K70" i="98"/>
  <c r="J70" i="98"/>
  <c r="S69" i="98"/>
  <c r="R69" i="98"/>
  <c r="O69" i="98"/>
  <c r="N69" i="98"/>
  <c r="K69" i="98"/>
  <c r="J69" i="98"/>
  <c r="S68" i="98"/>
  <c r="Q68" i="98" s="1"/>
  <c r="T68" i="98" s="1"/>
  <c r="O68" i="98"/>
  <c r="M68" i="98" s="1"/>
  <c r="P68" i="98" s="1"/>
  <c r="I68" i="98"/>
  <c r="L68" i="98" s="1"/>
  <c r="S67" i="98"/>
  <c r="R67" i="98"/>
  <c r="O67" i="98"/>
  <c r="N67" i="98"/>
  <c r="K67" i="98"/>
  <c r="J67" i="98"/>
  <c r="S66" i="98"/>
  <c r="P66" i="98"/>
  <c r="M66" i="98"/>
  <c r="L66" i="98"/>
  <c r="I66" i="98"/>
  <c r="S63" i="98"/>
  <c r="R63" i="98"/>
  <c r="O63" i="98"/>
  <c r="N63" i="98"/>
  <c r="K63" i="98"/>
  <c r="J63" i="98"/>
  <c r="I63" i="98" s="1"/>
  <c r="L63" i="98" s="1"/>
  <c r="S62" i="98"/>
  <c r="R62" i="98"/>
  <c r="O62" i="98"/>
  <c r="N62" i="98"/>
  <c r="K62" i="98"/>
  <c r="J62" i="98"/>
  <c r="S61" i="98"/>
  <c r="Q61" i="98" s="1"/>
  <c r="T61" i="98" s="1"/>
  <c r="O61" i="98"/>
  <c r="M61" i="98" s="1"/>
  <c r="P61" i="98" s="1"/>
  <c r="L61" i="98"/>
  <c r="I61" i="98"/>
  <c r="S60" i="98"/>
  <c r="R60" i="98"/>
  <c r="O60" i="98"/>
  <c r="N60" i="98"/>
  <c r="K60" i="98"/>
  <c r="J60" i="98"/>
  <c r="S59" i="98"/>
  <c r="Q59" i="98" s="1"/>
  <c r="M59" i="98"/>
  <c r="I59" i="98"/>
  <c r="S56" i="98"/>
  <c r="R56" i="98"/>
  <c r="O56" i="98"/>
  <c r="N56" i="98"/>
  <c r="K56" i="98"/>
  <c r="J56" i="98"/>
  <c r="S55" i="98"/>
  <c r="R55" i="98"/>
  <c r="O55" i="98"/>
  <c r="N55" i="98"/>
  <c r="K55" i="98"/>
  <c r="J55" i="98"/>
  <c r="S54" i="98"/>
  <c r="Q54" i="98" s="1"/>
  <c r="T54" i="98" s="1"/>
  <c r="O54" i="98"/>
  <c r="M54" i="98" s="1"/>
  <c r="P54" i="98" s="1"/>
  <c r="L54" i="98"/>
  <c r="I54" i="98"/>
  <c r="S53" i="98"/>
  <c r="R53" i="98"/>
  <c r="O53" i="98"/>
  <c r="N53" i="98"/>
  <c r="K53" i="98"/>
  <c r="J53" i="98"/>
  <c r="S52" i="98"/>
  <c r="Q52" i="98" s="1"/>
  <c r="T52" i="98" s="1"/>
  <c r="M52" i="98"/>
  <c r="I52" i="98"/>
  <c r="L52" i="98" s="1"/>
  <c r="S49" i="98"/>
  <c r="R49" i="98"/>
  <c r="O49" i="98"/>
  <c r="N49" i="98"/>
  <c r="K49" i="98"/>
  <c r="J49" i="98"/>
  <c r="S48" i="98"/>
  <c r="R48" i="98"/>
  <c r="O48" i="98"/>
  <c r="N48" i="98"/>
  <c r="K48" i="98"/>
  <c r="J48" i="98"/>
  <c r="S47" i="98"/>
  <c r="Q47" i="98" s="1"/>
  <c r="T47" i="98" s="1"/>
  <c r="O47" i="98"/>
  <c r="M47" i="98" s="1"/>
  <c r="P47" i="98" s="1"/>
  <c r="L47" i="98"/>
  <c r="I47" i="98"/>
  <c r="S46" i="98"/>
  <c r="R46" i="98"/>
  <c r="O46" i="98"/>
  <c r="N46" i="98"/>
  <c r="K46" i="98"/>
  <c r="J46" i="98"/>
  <c r="S45" i="98"/>
  <c r="Q45" i="98" s="1"/>
  <c r="M45" i="98"/>
  <c r="I45" i="98"/>
  <c r="L45" i="98" s="1"/>
  <c r="S43" i="98"/>
  <c r="R43" i="98"/>
  <c r="Q43" i="98"/>
  <c r="T43" i="98" s="1"/>
  <c r="O43" i="98"/>
  <c r="N43" i="98"/>
  <c r="P43" i="98" s="1"/>
  <c r="M43" i="98"/>
  <c r="K43" i="98"/>
  <c r="J43" i="98"/>
  <c r="T42" i="98"/>
  <c r="P42" i="98"/>
  <c r="M42" i="98"/>
  <c r="L42" i="98"/>
  <c r="I42" i="98"/>
  <c r="T41" i="98"/>
  <c r="M41" i="98"/>
  <c r="P41" i="98" s="1"/>
  <c r="I41" i="98"/>
  <c r="L41" i="98" s="1"/>
  <c r="T40" i="98"/>
  <c r="P40" i="98"/>
  <c r="M40" i="98"/>
  <c r="L40" i="98"/>
  <c r="I40" i="98"/>
  <c r="T39" i="98"/>
  <c r="M39" i="98"/>
  <c r="P39" i="98" s="1"/>
  <c r="I39" i="98"/>
  <c r="I43" i="98" s="1"/>
  <c r="L43" i="98" s="1"/>
  <c r="T38" i="98"/>
  <c r="P38" i="98"/>
  <c r="M38" i="98"/>
  <c r="L38" i="98"/>
  <c r="I38" i="98"/>
  <c r="S36" i="98"/>
  <c r="R36" i="98"/>
  <c r="T36" i="98" s="1"/>
  <c r="Q36" i="98"/>
  <c r="O36" i="98"/>
  <c r="N36" i="98"/>
  <c r="P36" i="98" s="1"/>
  <c r="M36" i="98"/>
  <c r="L36" i="98"/>
  <c r="K36" i="98"/>
  <c r="J36" i="98"/>
  <c r="T35" i="98"/>
  <c r="M35" i="98"/>
  <c r="P35" i="98" s="1"/>
  <c r="I35" i="98"/>
  <c r="L35" i="98" s="1"/>
  <c r="T34" i="98"/>
  <c r="M34" i="98"/>
  <c r="P34" i="98" s="1"/>
  <c r="L34" i="98"/>
  <c r="I34" i="98"/>
  <c r="T33" i="98"/>
  <c r="P33" i="98"/>
  <c r="M33" i="98"/>
  <c r="I33" i="98"/>
  <c r="L33" i="98" s="1"/>
  <c r="T32" i="98"/>
  <c r="P32" i="98"/>
  <c r="M32" i="98"/>
  <c r="I32" i="98"/>
  <c r="I36" i="98" s="1"/>
  <c r="T31" i="98"/>
  <c r="M31" i="98"/>
  <c r="P31" i="98" s="1"/>
  <c r="L31" i="98"/>
  <c r="I31" i="98"/>
  <c r="S29" i="98"/>
  <c r="R29" i="98"/>
  <c r="O29" i="98"/>
  <c r="N29" i="98"/>
  <c r="M29" i="98"/>
  <c r="K29" i="98"/>
  <c r="J29" i="98"/>
  <c r="Q28" i="98"/>
  <c r="T28" i="98" s="1"/>
  <c r="M28" i="98"/>
  <c r="P28" i="98" s="1"/>
  <c r="I28" i="98"/>
  <c r="L28" i="98" s="1"/>
  <c r="Q27" i="98"/>
  <c r="T27" i="98" s="1"/>
  <c r="M27" i="98"/>
  <c r="P27" i="98" s="1"/>
  <c r="L27" i="98"/>
  <c r="I27" i="98"/>
  <c r="Q26" i="98"/>
  <c r="T26" i="98" s="1"/>
  <c r="M26" i="98"/>
  <c r="P26" i="98" s="1"/>
  <c r="I26" i="98"/>
  <c r="L26" i="98" s="1"/>
  <c r="Q25" i="98"/>
  <c r="M25" i="98"/>
  <c r="P25" i="98" s="1"/>
  <c r="L25" i="98"/>
  <c r="I25" i="98"/>
  <c r="I29" i="98" s="1"/>
  <c r="S23" i="98"/>
  <c r="R23" i="98"/>
  <c r="O23" i="98"/>
  <c r="N23" i="98"/>
  <c r="M23" i="98"/>
  <c r="K23" i="98"/>
  <c r="J23" i="98"/>
  <c r="L23" i="98" s="1"/>
  <c r="Q22" i="98"/>
  <c r="T22" i="98" s="1"/>
  <c r="M22" i="98"/>
  <c r="P22" i="98" s="1"/>
  <c r="I22" i="98"/>
  <c r="L22" i="98" s="1"/>
  <c r="Q21" i="98"/>
  <c r="T21" i="98" s="1"/>
  <c r="M21" i="98"/>
  <c r="P21" i="98" s="1"/>
  <c r="L21" i="98"/>
  <c r="I21" i="98"/>
  <c r="Q20" i="98"/>
  <c r="T20" i="98" s="1"/>
  <c r="M20" i="98"/>
  <c r="P20" i="98" s="1"/>
  <c r="I20" i="98"/>
  <c r="L20" i="98" s="1"/>
  <c r="Q19" i="98"/>
  <c r="T19" i="98" s="1"/>
  <c r="M19" i="98"/>
  <c r="P19" i="98" s="1"/>
  <c r="L19" i="98"/>
  <c r="I19" i="98"/>
  <c r="Q18" i="98"/>
  <c r="T18" i="98" s="1"/>
  <c r="M18" i="98"/>
  <c r="P18" i="98" s="1"/>
  <c r="I18" i="98"/>
  <c r="I23" i="98" s="1"/>
  <c r="R16" i="98"/>
  <c r="O16" i="98"/>
  <c r="N16" i="98"/>
  <c r="K16" i="98"/>
  <c r="J16" i="98"/>
  <c r="Q15" i="98"/>
  <c r="T15" i="98" s="1"/>
  <c r="P15" i="98"/>
  <c r="M15" i="98"/>
  <c r="L15" i="98"/>
  <c r="I15" i="98"/>
  <c r="T14" i="98"/>
  <c r="Q14" i="98"/>
  <c r="P14" i="98"/>
  <c r="M14" i="98"/>
  <c r="L14" i="98"/>
  <c r="I14" i="98"/>
  <c r="Q13" i="98"/>
  <c r="T13" i="98" s="1"/>
  <c r="P13" i="98"/>
  <c r="M13" i="98"/>
  <c r="L13" i="98"/>
  <c r="I13" i="98"/>
  <c r="T12" i="98"/>
  <c r="Q12" i="98"/>
  <c r="P12" i="98"/>
  <c r="M12" i="98"/>
  <c r="L12" i="98"/>
  <c r="I12" i="98"/>
  <c r="I16" i="98" s="1"/>
  <c r="L16" i="98" s="1"/>
  <c r="Q11" i="98"/>
  <c r="Q16" i="98" s="1"/>
  <c r="P11" i="98"/>
  <c r="M11" i="98"/>
  <c r="M16" i="98" s="1"/>
  <c r="P16" i="98" s="1"/>
  <c r="L11" i="98"/>
  <c r="I11" i="98"/>
  <c r="R9" i="92"/>
  <c r="R13" i="92" s="1"/>
  <c r="Z9" i="92"/>
  <c r="Z10" i="92"/>
  <c r="V9" i="92"/>
  <c r="Q10" i="89"/>
  <c r="U10" i="89"/>
  <c r="Q9" i="83"/>
  <c r="T9" i="83" s="1"/>
  <c r="U9" i="83"/>
  <c r="Y9" i="83" s="1"/>
  <c r="U12" i="66"/>
  <c r="Y12" i="66" s="1"/>
  <c r="Q12" i="66"/>
  <c r="T12" i="66" s="1"/>
  <c r="U9" i="41"/>
  <c r="Q9" i="41"/>
  <c r="T9" i="41" s="1"/>
  <c r="Y10" i="41"/>
  <c r="Y11" i="41"/>
  <c r="Y12" i="41"/>
  <c r="Q10" i="41"/>
  <c r="T10" i="41" s="1"/>
  <c r="I11" i="41"/>
  <c r="L11" i="41" s="1"/>
  <c r="M11" i="41"/>
  <c r="Q11" i="41"/>
  <c r="T11" i="41" s="1"/>
  <c r="U11" i="41"/>
  <c r="X11" i="41" s="1"/>
  <c r="I12" i="41"/>
  <c r="L12" i="41" s="1"/>
  <c r="M12" i="41"/>
  <c r="Q12" i="41"/>
  <c r="T12" i="41" s="1"/>
  <c r="U12" i="41"/>
  <c r="X12" i="41" s="1"/>
  <c r="V10" i="92"/>
  <c r="X13" i="92"/>
  <c r="Q45" i="97" s="1"/>
  <c r="W13" i="92"/>
  <c r="P45" i="97" s="1"/>
  <c r="T13" i="92"/>
  <c r="M45" i="97" s="1"/>
  <c r="S13" i="92"/>
  <c r="L45" i="97" s="1"/>
  <c r="P13" i="92"/>
  <c r="I45" i="97"/>
  <c r="O13" i="92"/>
  <c r="H45" i="97"/>
  <c r="L13" i="92"/>
  <c r="E45" i="61" s="1"/>
  <c r="K13" i="92"/>
  <c r="D45" i="97" s="1"/>
  <c r="Q10" i="91"/>
  <c r="T10" i="91" s="1"/>
  <c r="U10" i="91"/>
  <c r="X10" i="91" s="1"/>
  <c r="W13" i="91"/>
  <c r="Q43" i="97" s="1"/>
  <c r="V13" i="91"/>
  <c r="P43" i="97" s="1"/>
  <c r="S13" i="91"/>
  <c r="M43" i="97" s="1"/>
  <c r="R13" i="91"/>
  <c r="L43" i="97" s="1"/>
  <c r="O13" i="91"/>
  <c r="I43" i="97" s="1"/>
  <c r="N13" i="91"/>
  <c r="H43" i="61" s="1"/>
  <c r="K13" i="91"/>
  <c r="E43" i="97" s="1"/>
  <c r="J13" i="91"/>
  <c r="D43" i="61" s="1"/>
  <c r="D43" i="97"/>
  <c r="T10" i="87"/>
  <c r="W10" i="87" s="1"/>
  <c r="X10" i="87"/>
  <c r="AA10" i="87" s="1"/>
  <c r="X13" i="87"/>
  <c r="AA13" i="87" s="1"/>
  <c r="Z13" i="87"/>
  <c r="Q41" i="97" s="1"/>
  <c r="Y13" i="87"/>
  <c r="P41" i="97" s="1"/>
  <c r="V13" i="87"/>
  <c r="M41" i="97" s="1"/>
  <c r="U13" i="87"/>
  <c r="R13" i="87"/>
  <c r="I41" i="61" s="1"/>
  <c r="I41" i="97"/>
  <c r="Q13" i="87"/>
  <c r="H41" i="97"/>
  <c r="N13" i="87"/>
  <c r="E41" i="97" s="1"/>
  <c r="M13" i="87"/>
  <c r="D41" i="97" s="1"/>
  <c r="Q10" i="88"/>
  <c r="T10" i="88" s="1"/>
  <c r="U10" i="88"/>
  <c r="X10" i="88" s="1"/>
  <c r="W13" i="88"/>
  <c r="Q39" i="97" s="1"/>
  <c r="V13" i="88"/>
  <c r="P39" i="61" s="1"/>
  <c r="S13" i="88"/>
  <c r="M39" i="97" s="1"/>
  <c r="R13" i="88"/>
  <c r="L39" i="97" s="1"/>
  <c r="O13" i="88"/>
  <c r="I39" i="61" s="1"/>
  <c r="I39" i="97"/>
  <c r="N13" i="88"/>
  <c r="K13" i="88"/>
  <c r="E39" i="97" s="1"/>
  <c r="U9" i="89"/>
  <c r="X9" i="89" s="1"/>
  <c r="Q9" i="89"/>
  <c r="W13" i="89"/>
  <c r="Q37" i="97" s="1"/>
  <c r="V13" i="89"/>
  <c r="P37" i="97" s="1"/>
  <c r="O37" i="97" s="1"/>
  <c r="S13" i="89"/>
  <c r="M37" i="97" s="1"/>
  <c r="R13" i="89"/>
  <c r="L37" i="97" s="1"/>
  <c r="O13" i="89"/>
  <c r="I37" i="61" s="1"/>
  <c r="N13" i="89"/>
  <c r="H37" i="61" s="1"/>
  <c r="H37" i="97"/>
  <c r="K13" i="89"/>
  <c r="E37" i="97" s="1"/>
  <c r="J13" i="89"/>
  <c r="D37" i="97" s="1"/>
  <c r="Q10" i="90"/>
  <c r="U10" i="90"/>
  <c r="X10" i="90" s="1"/>
  <c r="W13" i="90"/>
  <c r="Q35" i="97" s="1"/>
  <c r="V13" i="90"/>
  <c r="P35" i="97" s="1"/>
  <c r="S13" i="90"/>
  <c r="M35" i="97" s="1"/>
  <c r="R13" i="90"/>
  <c r="L35" i="97" s="1"/>
  <c r="O13" i="90"/>
  <c r="I35" i="97" s="1"/>
  <c r="N13" i="90"/>
  <c r="H35" i="97"/>
  <c r="K13" i="90"/>
  <c r="E35" i="97" s="1"/>
  <c r="J13" i="90"/>
  <c r="D35" i="97" s="1"/>
  <c r="Q10" i="86"/>
  <c r="U10" i="86"/>
  <c r="W13" i="86"/>
  <c r="Q33" i="97" s="1"/>
  <c r="V13" i="86"/>
  <c r="P33" i="97" s="1"/>
  <c r="R13" i="86"/>
  <c r="L33" i="97" s="1"/>
  <c r="O13" i="86"/>
  <c r="I33" i="97" s="1"/>
  <c r="N13" i="86"/>
  <c r="H33" i="61" s="1"/>
  <c r="K13" i="86"/>
  <c r="E33" i="61" s="1"/>
  <c r="J13" i="86"/>
  <c r="D33" i="97" s="1"/>
  <c r="Q10" i="84"/>
  <c r="U11" i="84"/>
  <c r="W13" i="84"/>
  <c r="Q31" i="97" s="1"/>
  <c r="V13" i="84"/>
  <c r="P31" i="97"/>
  <c r="S13" i="84"/>
  <c r="M31" i="61" s="1"/>
  <c r="R13" i="84"/>
  <c r="L31" i="97" s="1"/>
  <c r="O13" i="84"/>
  <c r="I31" i="61" s="1"/>
  <c r="I31" i="97"/>
  <c r="N13" i="84"/>
  <c r="H31" i="97" s="1"/>
  <c r="K13" i="84"/>
  <c r="E31" i="61" s="1"/>
  <c r="J13" i="84"/>
  <c r="D31" i="97" s="1"/>
  <c r="W13" i="83"/>
  <c r="Q29" i="97" s="1"/>
  <c r="V13" i="83"/>
  <c r="P29" i="97" s="1"/>
  <c r="S13" i="83"/>
  <c r="M29" i="97" s="1"/>
  <c r="R13" i="83"/>
  <c r="L29" i="97" s="1"/>
  <c r="O13" i="83"/>
  <c r="I29" i="97" s="1"/>
  <c r="N13" i="83"/>
  <c r="H29" i="97" s="1"/>
  <c r="K13" i="83"/>
  <c r="E29" i="97"/>
  <c r="J13" i="83"/>
  <c r="D29" i="61" s="1"/>
  <c r="Q10" i="93"/>
  <c r="T10" i="93" s="1"/>
  <c r="U10" i="93"/>
  <c r="U11" i="93"/>
  <c r="V13" i="93"/>
  <c r="W13" i="93"/>
  <c r="Q27" i="97" s="1"/>
  <c r="S13" i="93"/>
  <c r="M27" i="97" s="1"/>
  <c r="R13" i="93"/>
  <c r="L27" i="97" s="1"/>
  <c r="O13" i="93"/>
  <c r="I27" i="61" s="1"/>
  <c r="N13" i="93"/>
  <c r="H27" i="97" s="1"/>
  <c r="K13" i="93"/>
  <c r="E27" i="97" s="1"/>
  <c r="J13" i="93"/>
  <c r="D27" i="97" s="1"/>
  <c r="U9" i="81"/>
  <c r="X9" i="81" s="1"/>
  <c r="U10" i="81"/>
  <c r="X10" i="81" s="1"/>
  <c r="U11" i="81"/>
  <c r="U12" i="81"/>
  <c r="X12" i="81" s="1"/>
  <c r="Q9" i="81"/>
  <c r="Q10" i="81"/>
  <c r="Q11" i="81"/>
  <c r="T11" i="81" s="1"/>
  <c r="Q12" i="81"/>
  <c r="T12" i="81" s="1"/>
  <c r="W13" i="81"/>
  <c r="Q25" i="97" s="1"/>
  <c r="V13" i="81"/>
  <c r="P25" i="97" s="1"/>
  <c r="S13" i="81"/>
  <c r="M25" i="97" s="1"/>
  <c r="R13" i="81"/>
  <c r="L25" i="97" s="1"/>
  <c r="O13" i="81"/>
  <c r="I25" i="97" s="1"/>
  <c r="N13" i="81"/>
  <c r="H25" i="97" s="1"/>
  <c r="K13" i="81"/>
  <c r="E25" i="97" s="1"/>
  <c r="J13" i="81"/>
  <c r="D25" i="97" s="1"/>
  <c r="Q9" i="82"/>
  <c r="T9" i="82" s="1"/>
  <c r="Q10" i="82"/>
  <c r="T10" i="82" s="1"/>
  <c r="U10" i="82"/>
  <c r="U9" i="82"/>
  <c r="W13" i="82"/>
  <c r="Q23" i="97" s="1"/>
  <c r="V13" i="82"/>
  <c r="P23" i="97" s="1"/>
  <c r="S13" i="82"/>
  <c r="M23" i="97" s="1"/>
  <c r="R13" i="82"/>
  <c r="L23" i="97" s="1"/>
  <c r="O13" i="82"/>
  <c r="I23" i="97" s="1"/>
  <c r="N13" i="82"/>
  <c r="H23" i="97" s="1"/>
  <c r="K13" i="82"/>
  <c r="E23" i="97" s="1"/>
  <c r="J13" i="82"/>
  <c r="N13" i="80"/>
  <c r="H21" i="97" s="1"/>
  <c r="N13" i="66"/>
  <c r="H17" i="97" s="1"/>
  <c r="N13" i="41"/>
  <c r="H11" i="97" s="1"/>
  <c r="N13" i="65"/>
  <c r="H15" i="97" s="1"/>
  <c r="N13" i="67"/>
  <c r="H19" i="61" s="1"/>
  <c r="Q10" i="67"/>
  <c r="T10" i="67" s="1"/>
  <c r="Q11" i="67"/>
  <c r="U10" i="67"/>
  <c r="U11" i="67"/>
  <c r="V13" i="67"/>
  <c r="P19" i="61" s="1"/>
  <c r="W13" i="67"/>
  <c r="Q19" i="97" s="1"/>
  <c r="S13" i="67"/>
  <c r="M19" i="97" s="1"/>
  <c r="R13" i="67"/>
  <c r="L19" i="97" s="1"/>
  <c r="O13" i="67"/>
  <c r="I19" i="97" s="1"/>
  <c r="K13" i="67"/>
  <c r="E19" i="61" s="1"/>
  <c r="J13" i="67"/>
  <c r="D19" i="97" s="1"/>
  <c r="Q9" i="65"/>
  <c r="T9" i="65" s="1"/>
  <c r="Q10" i="65"/>
  <c r="T10" i="65" s="1"/>
  <c r="U10" i="65"/>
  <c r="X10" i="65" s="1"/>
  <c r="U9" i="65"/>
  <c r="W13" i="65"/>
  <c r="Q15" i="61" s="1"/>
  <c r="S13" i="65"/>
  <c r="M15" i="97" s="1"/>
  <c r="R13" i="65"/>
  <c r="L15" i="97" s="1"/>
  <c r="O13" i="65"/>
  <c r="I15" i="97" s="1"/>
  <c r="K13" i="65"/>
  <c r="E15" i="97"/>
  <c r="J13" i="65"/>
  <c r="D15" i="97" s="1"/>
  <c r="T11" i="67"/>
  <c r="M10" i="82"/>
  <c r="P10" i="82"/>
  <c r="M11" i="82"/>
  <c r="P11" i="82" s="1"/>
  <c r="I10" i="82"/>
  <c r="L10" i="82" s="1"/>
  <c r="T10" i="81"/>
  <c r="I10" i="81"/>
  <c r="L10" i="81"/>
  <c r="I11" i="81"/>
  <c r="I13" i="81" s="1"/>
  <c r="L13" i="81" s="1"/>
  <c r="L11" i="81"/>
  <c r="I12" i="81"/>
  <c r="L12" i="81" s="1"/>
  <c r="T10" i="84"/>
  <c r="T10" i="86"/>
  <c r="T10" i="90"/>
  <c r="I10" i="90"/>
  <c r="L10" i="90"/>
  <c r="I10" i="89"/>
  <c r="I10" i="88"/>
  <c r="L10" i="88" s="1"/>
  <c r="J10" i="92"/>
  <c r="M10" i="92"/>
  <c r="M11" i="92"/>
  <c r="N10" i="92"/>
  <c r="Q10" i="92" s="1"/>
  <c r="O10" i="87"/>
  <c r="Q19" i="61"/>
  <c r="R10" i="92"/>
  <c r="U10" i="92"/>
  <c r="M10" i="91"/>
  <c r="P10" i="91"/>
  <c r="P10" i="87"/>
  <c r="S10" i="87" s="1"/>
  <c r="M10" i="88"/>
  <c r="P10" i="88" s="1"/>
  <c r="M10" i="89"/>
  <c r="P11" i="89"/>
  <c r="M10" i="90"/>
  <c r="P10" i="90" s="1"/>
  <c r="P10" i="86"/>
  <c r="P11" i="86"/>
  <c r="L45" i="61"/>
  <c r="H45" i="61"/>
  <c r="E43" i="61"/>
  <c r="P41" i="61"/>
  <c r="D41" i="61"/>
  <c r="L35" i="61"/>
  <c r="I35" i="61"/>
  <c r="H35" i="61"/>
  <c r="G35" i="61" s="1"/>
  <c r="J35" i="61" s="1"/>
  <c r="P31" i="61"/>
  <c r="I29" i="61"/>
  <c r="E29" i="61"/>
  <c r="M27" i="61"/>
  <c r="M25" i="61"/>
  <c r="Q23" i="61"/>
  <c r="H23" i="61"/>
  <c r="M15" i="61"/>
  <c r="I15" i="61"/>
  <c r="W13" i="64"/>
  <c r="Q13" i="97" s="1"/>
  <c r="Y12" i="93"/>
  <c r="U12" i="93"/>
  <c r="X12" i="93" s="1"/>
  <c r="Q12" i="93"/>
  <c r="M12" i="93"/>
  <c r="I12" i="93"/>
  <c r="L12" i="93" s="1"/>
  <c r="Y11" i="93"/>
  <c r="X11" i="93"/>
  <c r="Q11" i="93"/>
  <c r="T11" i="93" s="1"/>
  <c r="M11" i="93"/>
  <c r="P11" i="93" s="1"/>
  <c r="I11" i="93"/>
  <c r="L11" i="93" s="1"/>
  <c r="Y10" i="93"/>
  <c r="X10" i="93"/>
  <c r="M10" i="93"/>
  <c r="I10" i="93"/>
  <c r="L10" i="93" s="1"/>
  <c r="I9" i="93"/>
  <c r="L9" i="93" s="1"/>
  <c r="U9" i="93"/>
  <c r="Q9" i="93"/>
  <c r="T9" i="93" s="1"/>
  <c r="M9" i="93"/>
  <c r="I45" i="61"/>
  <c r="Z12" i="92"/>
  <c r="V12" i="92"/>
  <c r="Y12" i="92" s="1"/>
  <c r="R12" i="92"/>
  <c r="U12" i="92" s="1"/>
  <c r="N12" i="92"/>
  <c r="Q12" i="92" s="1"/>
  <c r="J12" i="92"/>
  <c r="M12" i="92" s="1"/>
  <c r="Z11" i="92"/>
  <c r="V11" i="92"/>
  <c r="Y11" i="92" s="1"/>
  <c r="R11" i="92"/>
  <c r="U11" i="92" s="1"/>
  <c r="N11" i="92"/>
  <c r="Q11" i="92" s="1"/>
  <c r="J11" i="92"/>
  <c r="Y10" i="92"/>
  <c r="U9" i="92"/>
  <c r="N9" i="92"/>
  <c r="N13" i="92" s="1"/>
  <c r="Q13" i="92" s="1"/>
  <c r="J9" i="92"/>
  <c r="M9" i="92" s="1"/>
  <c r="P43" i="61"/>
  <c r="Y12" i="91"/>
  <c r="U12" i="91"/>
  <c r="X12" i="91" s="1"/>
  <c r="Q12" i="91"/>
  <c r="T12" i="91" s="1"/>
  <c r="M12" i="91"/>
  <c r="P12" i="91" s="1"/>
  <c r="I12" i="91"/>
  <c r="Y11" i="91"/>
  <c r="U11" i="91"/>
  <c r="X11" i="91" s="1"/>
  <c r="Q11" i="91"/>
  <c r="T11" i="91" s="1"/>
  <c r="M11" i="91"/>
  <c r="P11" i="91" s="1"/>
  <c r="I11" i="91"/>
  <c r="L11" i="91" s="1"/>
  <c r="Y10" i="91"/>
  <c r="I10" i="91"/>
  <c r="U9" i="91"/>
  <c r="Q9" i="91"/>
  <c r="Q13" i="91" s="1"/>
  <c r="T13" i="91" s="1"/>
  <c r="M9" i="91"/>
  <c r="P9" i="91" s="1"/>
  <c r="I9" i="91"/>
  <c r="L9" i="91" s="1"/>
  <c r="AB12" i="87"/>
  <c r="X12" i="87"/>
  <c r="AA12" i="87" s="1"/>
  <c r="T12" i="87"/>
  <c r="W12" i="87" s="1"/>
  <c r="P12" i="87"/>
  <c r="S12" i="87" s="1"/>
  <c r="L12" i="87"/>
  <c r="O12" i="87" s="1"/>
  <c r="AB11" i="87"/>
  <c r="X11" i="87"/>
  <c r="AA11" i="87" s="1"/>
  <c r="T11" i="87"/>
  <c r="W11" i="87" s="1"/>
  <c r="P11" i="87"/>
  <c r="S11" i="87" s="1"/>
  <c r="L11" i="87"/>
  <c r="O11" i="87" s="1"/>
  <c r="AB10" i="87"/>
  <c r="X9" i="87"/>
  <c r="T9" i="87"/>
  <c r="W9" i="87"/>
  <c r="P9" i="87"/>
  <c r="S9" i="87" s="1"/>
  <c r="L9" i="87"/>
  <c r="J13" i="88"/>
  <c r="Y12" i="88"/>
  <c r="U12" i="88"/>
  <c r="X12" i="88" s="1"/>
  <c r="Q12" i="88"/>
  <c r="T12" i="88" s="1"/>
  <c r="M12" i="88"/>
  <c r="P12" i="88" s="1"/>
  <c r="I12" i="88"/>
  <c r="L12" i="88" s="1"/>
  <c r="Y11" i="88"/>
  <c r="U11" i="88"/>
  <c r="X11" i="88" s="1"/>
  <c r="Q11" i="88"/>
  <c r="T11" i="88" s="1"/>
  <c r="M11" i="88"/>
  <c r="P11" i="88" s="1"/>
  <c r="I11" i="88"/>
  <c r="L11" i="88" s="1"/>
  <c r="Y10" i="88"/>
  <c r="U9" i="88"/>
  <c r="Q9" i="88"/>
  <c r="M9" i="88"/>
  <c r="P9" i="88" s="1"/>
  <c r="I9" i="88"/>
  <c r="L9" i="88" s="1"/>
  <c r="U12" i="89"/>
  <c r="X12" i="89" s="1"/>
  <c r="Q12" i="89"/>
  <c r="T12" i="89" s="1"/>
  <c r="M12" i="89"/>
  <c r="P12" i="89" s="1"/>
  <c r="I12" i="89"/>
  <c r="L12" i="89" s="1"/>
  <c r="U11" i="89"/>
  <c r="Q11" i="89"/>
  <c r="T11" i="89" s="1"/>
  <c r="M11" i="89"/>
  <c r="I11" i="89"/>
  <c r="L11" i="89" s="1"/>
  <c r="X10" i="89"/>
  <c r="M9" i="89"/>
  <c r="P9" i="89" s="1"/>
  <c r="I9" i="89"/>
  <c r="L9" i="89" s="1"/>
  <c r="Y12" i="90"/>
  <c r="U12" i="90"/>
  <c r="X12" i="90" s="1"/>
  <c r="Q12" i="90"/>
  <c r="T12" i="90" s="1"/>
  <c r="M12" i="90"/>
  <c r="P12" i="90" s="1"/>
  <c r="I12" i="90"/>
  <c r="L12" i="90" s="1"/>
  <c r="Y11" i="90"/>
  <c r="U11" i="90"/>
  <c r="X11" i="90" s="1"/>
  <c r="Q11" i="90"/>
  <c r="T11" i="90" s="1"/>
  <c r="M11" i="90"/>
  <c r="P11" i="90" s="1"/>
  <c r="I11" i="90"/>
  <c r="L11" i="90" s="1"/>
  <c r="Y10" i="90"/>
  <c r="U9" i="90"/>
  <c r="U13" i="90" s="1"/>
  <c r="Q9" i="90"/>
  <c r="T9" i="90" s="1"/>
  <c r="M9" i="90"/>
  <c r="I9" i="90"/>
  <c r="S13" i="86"/>
  <c r="Y12" i="86"/>
  <c r="U12" i="86"/>
  <c r="X12" i="86"/>
  <c r="Q12" i="86"/>
  <c r="T12" i="86" s="1"/>
  <c r="I12" i="86"/>
  <c r="L12" i="86" s="1"/>
  <c r="Y11" i="86"/>
  <c r="X11" i="86"/>
  <c r="U11" i="86"/>
  <c r="Q11" i="86"/>
  <c r="T11" i="86" s="1"/>
  <c r="I11" i="86"/>
  <c r="L11" i="86" s="1"/>
  <c r="Y10" i="86"/>
  <c r="X10" i="86"/>
  <c r="I10" i="86"/>
  <c r="L10" i="86" s="1"/>
  <c r="U9" i="86"/>
  <c r="Q9" i="86"/>
  <c r="T9" i="86" s="1"/>
  <c r="M9" i="86"/>
  <c r="P9" i="86" s="1"/>
  <c r="I9" i="86"/>
  <c r="L9" i="86" s="1"/>
  <c r="L31" i="61"/>
  <c r="Y12" i="84"/>
  <c r="U12" i="84"/>
  <c r="X12" i="84" s="1"/>
  <c r="Q12" i="84"/>
  <c r="T12" i="84" s="1"/>
  <c r="M12" i="84"/>
  <c r="P10" i="84" s="1"/>
  <c r="P12" i="84"/>
  <c r="I12" i="84"/>
  <c r="L12" i="84" s="1"/>
  <c r="Y11" i="84"/>
  <c r="X11" i="84"/>
  <c r="T11" i="84"/>
  <c r="M11" i="84"/>
  <c r="P11" i="84"/>
  <c r="I11" i="84"/>
  <c r="L11" i="84" s="1"/>
  <c r="Y10" i="84"/>
  <c r="U10" i="84"/>
  <c r="X10" i="84" s="1"/>
  <c r="M10" i="84"/>
  <c r="I10" i="84"/>
  <c r="L10" i="84" s="1"/>
  <c r="U9" i="84"/>
  <c r="U13" i="84" s="1"/>
  <c r="Q9" i="84"/>
  <c r="M9" i="84"/>
  <c r="I9" i="84"/>
  <c r="L9" i="84" s="1"/>
  <c r="Q29" i="61"/>
  <c r="Y12" i="83"/>
  <c r="U12" i="83"/>
  <c r="X12" i="83" s="1"/>
  <c r="Q12" i="83"/>
  <c r="T12" i="83" s="1"/>
  <c r="M12" i="83"/>
  <c r="P10" i="83" s="1"/>
  <c r="I12" i="83"/>
  <c r="L12" i="83" s="1"/>
  <c r="Y11" i="83"/>
  <c r="U11" i="83"/>
  <c r="X11" i="83" s="1"/>
  <c r="Q11" i="83"/>
  <c r="T11" i="83" s="1"/>
  <c r="M11" i="83"/>
  <c r="P11" i="83" s="1"/>
  <c r="I11" i="83"/>
  <c r="L11" i="83" s="1"/>
  <c r="Y10" i="83"/>
  <c r="U10" i="83"/>
  <c r="Q10" i="83"/>
  <c r="M10" i="83"/>
  <c r="I10" i="83"/>
  <c r="L10" i="83" s="1"/>
  <c r="M9" i="83"/>
  <c r="M13" i="83"/>
  <c r="I9" i="83"/>
  <c r="E25" i="61"/>
  <c r="Y12" i="81"/>
  <c r="M12" i="81"/>
  <c r="P10" i="81" s="1"/>
  <c r="Y11" i="81"/>
  <c r="X11" i="81"/>
  <c r="M11" i="81"/>
  <c r="P11" i="81" s="1"/>
  <c r="Y10" i="81"/>
  <c r="M10" i="81"/>
  <c r="T9" i="81"/>
  <c r="M9" i="81"/>
  <c r="P9" i="81" s="1"/>
  <c r="I9" i="81"/>
  <c r="L9" i="81" s="1"/>
  <c r="I23" i="61"/>
  <c r="E23" i="61"/>
  <c r="Y12" i="82"/>
  <c r="U12" i="82"/>
  <c r="X12" i="82" s="1"/>
  <c r="Q12" i="82"/>
  <c r="T12" i="82" s="1"/>
  <c r="M12" i="82"/>
  <c r="P12" i="82" s="1"/>
  <c r="I12" i="82"/>
  <c r="L12" i="82" s="1"/>
  <c r="Y11" i="82"/>
  <c r="U11" i="82"/>
  <c r="Q11" i="82"/>
  <c r="I11" i="82"/>
  <c r="L11" i="82" s="1"/>
  <c r="Y10" i="82"/>
  <c r="X10" i="82"/>
  <c r="M9" i="82"/>
  <c r="I9" i="82"/>
  <c r="L9" i="82" s="1"/>
  <c r="W13" i="80"/>
  <c r="Q21" i="97" s="1"/>
  <c r="W13" i="66"/>
  <c r="Q17" i="61" s="1"/>
  <c r="W13" i="41"/>
  <c r="Q11" i="97" s="1"/>
  <c r="V13" i="80"/>
  <c r="P21" i="97" s="1"/>
  <c r="V13" i="66"/>
  <c r="P17" i="97" s="1"/>
  <c r="V13" i="41"/>
  <c r="P11" i="97" s="1"/>
  <c r="S13" i="80"/>
  <c r="M21" i="61"/>
  <c r="R13" i="80"/>
  <c r="L21" i="97" s="1"/>
  <c r="R13" i="66"/>
  <c r="L17" i="97" s="1"/>
  <c r="R13" i="41"/>
  <c r="L11" i="61" s="1"/>
  <c r="O13" i="80"/>
  <c r="I21" i="97" s="1"/>
  <c r="I21" i="61"/>
  <c r="O13" i="66"/>
  <c r="I17" i="61" s="1"/>
  <c r="O13" i="41"/>
  <c r="I11" i="61" s="1"/>
  <c r="K13" i="80"/>
  <c r="E21" i="97"/>
  <c r="K13" i="66"/>
  <c r="E17" i="97" s="1"/>
  <c r="K13" i="41"/>
  <c r="E11" i="61" s="1"/>
  <c r="J13" i="80"/>
  <c r="D21" i="61" s="1"/>
  <c r="Y12" i="80"/>
  <c r="U12" i="80"/>
  <c r="X12" i="80"/>
  <c r="Q12" i="80"/>
  <c r="T12" i="80"/>
  <c r="M12" i="80"/>
  <c r="P10" i="80" s="1"/>
  <c r="I12" i="80"/>
  <c r="L12" i="80"/>
  <c r="Y11" i="80"/>
  <c r="U11" i="80"/>
  <c r="X11" i="80"/>
  <c r="Q11" i="80"/>
  <c r="T11" i="80" s="1"/>
  <c r="M11" i="80"/>
  <c r="P11" i="80" s="1"/>
  <c r="I11" i="80"/>
  <c r="L11" i="80" s="1"/>
  <c r="Y10" i="80"/>
  <c r="U10" i="80"/>
  <c r="X10" i="80" s="1"/>
  <c r="Q10" i="80"/>
  <c r="T10" i="80" s="1"/>
  <c r="M10" i="80"/>
  <c r="I10" i="80"/>
  <c r="L10" i="80" s="1"/>
  <c r="U9" i="80"/>
  <c r="Q9" i="80"/>
  <c r="T9" i="80" s="1"/>
  <c r="M9" i="80"/>
  <c r="I9" i="80"/>
  <c r="L9" i="80" s="1"/>
  <c r="Y12" i="67"/>
  <c r="U12" i="67"/>
  <c r="X12" i="67"/>
  <c r="Q12" i="67"/>
  <c r="T12" i="67" s="1"/>
  <c r="M12" i="67"/>
  <c r="P12" i="67" s="1"/>
  <c r="I12" i="67"/>
  <c r="L12" i="67" s="1"/>
  <c r="Y11" i="67"/>
  <c r="X11" i="67"/>
  <c r="M11" i="67"/>
  <c r="P11" i="67" s="1"/>
  <c r="I11" i="67"/>
  <c r="L11" i="67" s="1"/>
  <c r="Y10" i="67"/>
  <c r="X10" i="67"/>
  <c r="M10" i="67"/>
  <c r="I10" i="67"/>
  <c r="L10" i="67" s="1"/>
  <c r="U9" i="67"/>
  <c r="X9" i="67" s="1"/>
  <c r="Q9" i="67"/>
  <c r="M9" i="67"/>
  <c r="P9" i="67" s="1"/>
  <c r="I9" i="67"/>
  <c r="I13" i="67" s="1"/>
  <c r="S13" i="66"/>
  <c r="M17" i="61" s="1"/>
  <c r="J13" i="66"/>
  <c r="D17" i="97" s="1"/>
  <c r="M12" i="66"/>
  <c r="P12" i="66" s="1"/>
  <c r="I12" i="66"/>
  <c r="L12" i="66" s="1"/>
  <c r="U11" i="66"/>
  <c r="Y11" i="66" s="1"/>
  <c r="Q11" i="66"/>
  <c r="T11" i="66" s="1"/>
  <c r="M11" i="66"/>
  <c r="P11" i="66" s="1"/>
  <c r="I11" i="66"/>
  <c r="L11" i="66" s="1"/>
  <c r="U10" i="66"/>
  <c r="X10" i="66" s="1"/>
  <c r="Q10" i="66"/>
  <c r="T10" i="66" s="1"/>
  <c r="M10" i="66"/>
  <c r="I10" i="66"/>
  <c r="L10" i="66" s="1"/>
  <c r="U9" i="66"/>
  <c r="X9" i="66" s="1"/>
  <c r="Q9" i="66"/>
  <c r="T9" i="66" s="1"/>
  <c r="M9" i="66"/>
  <c r="P9" i="66" s="1"/>
  <c r="I9" i="66"/>
  <c r="L9" i="66" s="1"/>
  <c r="V13" i="65"/>
  <c r="Y12" i="65"/>
  <c r="U12" i="65"/>
  <c r="X12" i="65"/>
  <c r="Q12" i="65"/>
  <c r="T12" i="65" s="1"/>
  <c r="M12" i="65"/>
  <c r="P10" i="65" s="1"/>
  <c r="I12" i="65"/>
  <c r="L12" i="65" s="1"/>
  <c r="Y11" i="65"/>
  <c r="U11" i="65"/>
  <c r="X11" i="65" s="1"/>
  <c r="Q11" i="65"/>
  <c r="T11" i="65" s="1"/>
  <c r="M11" i="65"/>
  <c r="P11" i="65" s="1"/>
  <c r="I11" i="65"/>
  <c r="L11" i="65" s="1"/>
  <c r="M10" i="65"/>
  <c r="I10" i="65"/>
  <c r="M9" i="65"/>
  <c r="P9" i="65" s="1"/>
  <c r="I9" i="65"/>
  <c r="V13" i="64"/>
  <c r="P13" i="61" s="1"/>
  <c r="S13" i="64"/>
  <c r="M13" i="97" s="1"/>
  <c r="R13" i="64"/>
  <c r="O13" i="64"/>
  <c r="I13" i="97" s="1"/>
  <c r="N13" i="64"/>
  <c r="L13" i="61" s="1"/>
  <c r="K13" i="64"/>
  <c r="E13" i="97" s="1"/>
  <c r="J13" i="64"/>
  <c r="D13" i="97" s="1"/>
  <c r="U12" i="64"/>
  <c r="X12" i="64" s="1"/>
  <c r="Q12" i="64"/>
  <c r="T12" i="64" s="1"/>
  <c r="M12" i="64"/>
  <c r="P10" i="64"/>
  <c r="I12" i="64"/>
  <c r="L12" i="64" s="1"/>
  <c r="U11" i="64"/>
  <c r="Q11" i="64"/>
  <c r="T11" i="64" s="1"/>
  <c r="M11" i="64"/>
  <c r="M13" i="64" s="1"/>
  <c r="P13" i="64" s="1"/>
  <c r="I11" i="64"/>
  <c r="L11" i="64"/>
  <c r="U10" i="64"/>
  <c r="X10" i="64" s="1"/>
  <c r="Q10" i="64"/>
  <c r="T10" i="64" s="1"/>
  <c r="M10" i="64"/>
  <c r="I10" i="64"/>
  <c r="L10" i="64" s="1"/>
  <c r="U9" i="64"/>
  <c r="Q9" i="64"/>
  <c r="M9" i="64"/>
  <c r="P9" i="64"/>
  <c r="I9" i="64"/>
  <c r="L9" i="64" s="1"/>
  <c r="U10" i="41"/>
  <c r="X10" i="41" s="1"/>
  <c r="M10" i="41"/>
  <c r="M9" i="41"/>
  <c r="P9" i="41" s="1"/>
  <c r="I10" i="41"/>
  <c r="L10" i="41" s="1"/>
  <c r="I9" i="41"/>
  <c r="J13" i="41"/>
  <c r="D11" i="61" s="1"/>
  <c r="S13" i="41"/>
  <c r="M11" i="97" s="1"/>
  <c r="M45" i="61"/>
  <c r="M43" i="61"/>
  <c r="Q37" i="61"/>
  <c r="Q25" i="61"/>
  <c r="P23" i="61"/>
  <c r="Q13" i="61"/>
  <c r="I13" i="61"/>
  <c r="H13" i="61"/>
  <c r="E13" i="61"/>
  <c r="H15" i="61"/>
  <c r="E15" i="61"/>
  <c r="D15" i="61"/>
  <c r="C15" i="61" s="1"/>
  <c r="F15" i="61" s="1"/>
  <c r="Y9" i="92"/>
  <c r="AA9" i="87"/>
  <c r="T9" i="89"/>
  <c r="L9" i="90"/>
  <c r="P12" i="83"/>
  <c r="P9" i="83"/>
  <c r="P12" i="81"/>
  <c r="X9" i="82"/>
  <c r="P9" i="82"/>
  <c r="X9" i="65"/>
  <c r="L9" i="65"/>
  <c r="P12" i="64"/>
  <c r="I13" i="64"/>
  <c r="L13" i="64" s="1"/>
  <c r="Q21" i="61"/>
  <c r="P21" i="61"/>
  <c r="O21" i="61" s="1"/>
  <c r="I13" i="80"/>
  <c r="L13" i="80" s="1"/>
  <c r="P9" i="80"/>
  <c r="E21" i="61"/>
  <c r="H21" i="61"/>
  <c r="M21" i="97"/>
  <c r="D21" i="97"/>
  <c r="Q49" i="98" l="1"/>
  <c r="Q63" i="98"/>
  <c r="Q83" i="98"/>
  <c r="M53" i="98"/>
  <c r="Q118" i="98"/>
  <c r="T118" i="98" s="1"/>
  <c r="K134" i="98"/>
  <c r="Q53" i="98"/>
  <c r="Q91" i="98"/>
  <c r="Q125" i="98"/>
  <c r="T125" i="98" s="1"/>
  <c r="O120" i="98"/>
  <c r="O134" i="98"/>
  <c r="I104" i="98"/>
  <c r="L102" i="98" s="1"/>
  <c r="M74" i="98"/>
  <c r="I90" i="98"/>
  <c r="L90" i="98" s="1"/>
  <c r="Q105" i="98"/>
  <c r="T105" i="98" s="1"/>
  <c r="M109" i="98"/>
  <c r="M67" i="98"/>
  <c r="Q84" i="98"/>
  <c r="T84" i="98" s="1"/>
  <c r="M98" i="98"/>
  <c r="P98" i="98" s="1"/>
  <c r="Q126" i="98"/>
  <c r="T126" i="98" s="1"/>
  <c r="Q98" i="98"/>
  <c r="T98" i="98" s="1"/>
  <c r="M46" i="98"/>
  <c r="I77" i="98"/>
  <c r="L77" i="98" s="1"/>
  <c r="Q48" i="98"/>
  <c r="T48" i="98" s="1"/>
  <c r="Q70" i="98"/>
  <c r="T70" i="98" s="1"/>
  <c r="I49" i="98"/>
  <c r="L49" i="98" s="1"/>
  <c r="Q77" i="98"/>
  <c r="T77" i="98" s="1"/>
  <c r="M102" i="98"/>
  <c r="M69" i="98"/>
  <c r="P67" i="98" s="1"/>
  <c r="Q46" i="98"/>
  <c r="T46" i="98" s="1"/>
  <c r="S106" i="98"/>
  <c r="I48" i="98"/>
  <c r="L46" i="98" s="1"/>
  <c r="Q67" i="98"/>
  <c r="T67" i="98" s="1"/>
  <c r="Q13" i="41"/>
  <c r="T13" i="41" s="1"/>
  <c r="O78" i="98"/>
  <c r="Q11" i="61"/>
  <c r="O85" i="98"/>
  <c r="I116" i="98"/>
  <c r="J78" i="98"/>
  <c r="J127" i="98"/>
  <c r="J64" i="98"/>
  <c r="M95" i="98"/>
  <c r="R57" i="98"/>
  <c r="J120" i="98"/>
  <c r="I70" i="98"/>
  <c r="L70" i="98" s="1"/>
  <c r="Q119" i="98"/>
  <c r="T119" i="98" s="1"/>
  <c r="Q74" i="98"/>
  <c r="T74" i="98" s="1"/>
  <c r="R78" i="98"/>
  <c r="Q97" i="98"/>
  <c r="T97" i="98" s="1"/>
  <c r="Q62" i="98"/>
  <c r="T62" i="98" s="1"/>
  <c r="O127" i="98"/>
  <c r="N92" i="98"/>
  <c r="R127" i="98"/>
  <c r="R50" i="98"/>
  <c r="Q56" i="98"/>
  <c r="T56" i="98" s="1"/>
  <c r="K78" i="98"/>
  <c r="R92" i="98"/>
  <c r="Q90" i="98"/>
  <c r="T90" i="98" s="1"/>
  <c r="J99" i="98"/>
  <c r="Q102" i="98"/>
  <c r="T102" i="98" s="1"/>
  <c r="J134" i="98"/>
  <c r="I132" i="98"/>
  <c r="L130" i="98" s="1"/>
  <c r="R134" i="98"/>
  <c r="P11" i="61"/>
  <c r="S134" i="98"/>
  <c r="T63" i="98"/>
  <c r="Q69" i="98"/>
  <c r="T69" i="98" s="1"/>
  <c r="M97" i="98"/>
  <c r="P95" i="98" s="1"/>
  <c r="N113" i="98"/>
  <c r="K64" i="98"/>
  <c r="T91" i="98"/>
  <c r="R120" i="98"/>
  <c r="T49" i="98"/>
  <c r="R85" i="98"/>
  <c r="I53" i="98"/>
  <c r="I62" i="98"/>
  <c r="L62" i="98" s="1"/>
  <c r="O113" i="98"/>
  <c r="M13" i="91"/>
  <c r="P13" i="91" s="1"/>
  <c r="H43" i="97"/>
  <c r="G43" i="97" s="1"/>
  <c r="Q43" i="61"/>
  <c r="L10" i="91"/>
  <c r="U13" i="91"/>
  <c r="G41" i="97"/>
  <c r="L13" i="87"/>
  <c r="O13" i="87" s="1"/>
  <c r="M41" i="61"/>
  <c r="O9" i="87"/>
  <c r="T13" i="87"/>
  <c r="AB13" i="87" s="1"/>
  <c r="S41" i="61" s="1"/>
  <c r="AB9" i="87"/>
  <c r="P13" i="87"/>
  <c r="S13" i="87" s="1"/>
  <c r="H41" i="61"/>
  <c r="G41" i="61" s="1"/>
  <c r="P10" i="93"/>
  <c r="Q39" i="61"/>
  <c r="H33" i="97"/>
  <c r="E33" i="97"/>
  <c r="I33" i="61"/>
  <c r="G33" i="61" s="1"/>
  <c r="J33" i="61" s="1"/>
  <c r="G15" i="61"/>
  <c r="J15" i="61" s="1"/>
  <c r="G45" i="61"/>
  <c r="J45" i="61" s="1"/>
  <c r="O23" i="61"/>
  <c r="K31" i="61"/>
  <c r="N31" i="61" s="1"/>
  <c r="G45" i="97"/>
  <c r="O31" i="97"/>
  <c r="R31" i="97" s="1"/>
  <c r="C21" i="97"/>
  <c r="F21" i="97" s="1"/>
  <c r="Q45" i="61"/>
  <c r="J45" i="97"/>
  <c r="P45" i="61"/>
  <c r="J13" i="92"/>
  <c r="E45" i="97"/>
  <c r="C45" i="97" s="1"/>
  <c r="F45" i="97" s="1"/>
  <c r="K43" i="97"/>
  <c r="N43" i="97" s="1"/>
  <c r="I13" i="91"/>
  <c r="L13" i="91" s="1"/>
  <c r="I43" i="61"/>
  <c r="G43" i="61" s="1"/>
  <c r="J43" i="61" s="1"/>
  <c r="O43" i="61"/>
  <c r="R43" i="61" s="1"/>
  <c r="C43" i="97"/>
  <c r="F43" i="97" s="1"/>
  <c r="O41" i="97"/>
  <c r="R41" i="97" s="1"/>
  <c r="C41" i="97"/>
  <c r="F41" i="97" s="1"/>
  <c r="E41" i="61"/>
  <c r="C41" i="61" s="1"/>
  <c r="F41" i="61" s="1"/>
  <c r="L41" i="61"/>
  <c r="L41" i="97"/>
  <c r="Q41" i="61"/>
  <c r="O41" i="61" s="1"/>
  <c r="R41" i="61" s="1"/>
  <c r="J41" i="97"/>
  <c r="Q13" i="88"/>
  <c r="T13" i="88" s="1"/>
  <c r="M13" i="88"/>
  <c r="P13" i="88" s="1"/>
  <c r="L39" i="61"/>
  <c r="U13" i="88"/>
  <c r="X13" i="88" s="1"/>
  <c r="E37" i="61"/>
  <c r="M13" i="86"/>
  <c r="P13" i="86" s="1"/>
  <c r="G33" i="97"/>
  <c r="J33" i="97" s="1"/>
  <c r="D33" i="61"/>
  <c r="Y9" i="86"/>
  <c r="I13" i="86"/>
  <c r="L13" i="86" s="1"/>
  <c r="M31" i="97"/>
  <c r="K31" i="97" s="1"/>
  <c r="N31" i="97" s="1"/>
  <c r="Y9" i="84"/>
  <c r="H31" i="61"/>
  <c r="G31" i="61" s="1"/>
  <c r="X9" i="84"/>
  <c r="M13" i="84"/>
  <c r="P13" i="84" s="1"/>
  <c r="Q13" i="84"/>
  <c r="T13" i="84" s="1"/>
  <c r="M29" i="61"/>
  <c r="X9" i="83"/>
  <c r="U13" i="83"/>
  <c r="L29" i="61"/>
  <c r="K29" i="61" s="1"/>
  <c r="Y9" i="93"/>
  <c r="P12" i="93"/>
  <c r="Q27" i="61"/>
  <c r="Q13" i="93"/>
  <c r="T13" i="93" s="1"/>
  <c r="M13" i="93"/>
  <c r="P13" i="93" s="1"/>
  <c r="E27" i="61"/>
  <c r="L25" i="61"/>
  <c r="K25" i="61" s="1"/>
  <c r="N25" i="61" s="1"/>
  <c r="I25" i="61"/>
  <c r="D25" i="61"/>
  <c r="C25" i="61" s="1"/>
  <c r="F25" i="61" s="1"/>
  <c r="C25" i="97"/>
  <c r="U13" i="81"/>
  <c r="X13" i="81" s="1"/>
  <c r="G23" i="61"/>
  <c r="J23" i="61" s="1"/>
  <c r="M23" i="61"/>
  <c r="Y9" i="82"/>
  <c r="M13" i="82"/>
  <c r="P13" i="82" s="1"/>
  <c r="U13" i="80"/>
  <c r="G21" i="61"/>
  <c r="J21" i="61" s="1"/>
  <c r="Y9" i="80"/>
  <c r="X9" i="80"/>
  <c r="H19" i="97"/>
  <c r="G19" i="97" s="1"/>
  <c r="I19" i="61"/>
  <c r="G19" i="61" s="1"/>
  <c r="J19" i="61" s="1"/>
  <c r="O19" i="61"/>
  <c r="P10" i="67"/>
  <c r="H17" i="61"/>
  <c r="G17" i="61" s="1"/>
  <c r="J17" i="61" s="1"/>
  <c r="P13" i="97"/>
  <c r="O13" i="97" s="1"/>
  <c r="R13" i="97" s="1"/>
  <c r="P11" i="64"/>
  <c r="I60" i="98"/>
  <c r="N64" i="98"/>
  <c r="J57" i="98"/>
  <c r="Q60" i="98"/>
  <c r="T60" i="98" s="1"/>
  <c r="O64" i="98"/>
  <c r="R71" i="98"/>
  <c r="Q88" i="98"/>
  <c r="T88" i="98" s="1"/>
  <c r="I88" i="98"/>
  <c r="O99" i="98"/>
  <c r="R113" i="98"/>
  <c r="I126" i="98"/>
  <c r="L126" i="98" s="1"/>
  <c r="N78" i="98"/>
  <c r="S57" i="98"/>
  <c r="R64" i="98"/>
  <c r="J85" i="98"/>
  <c r="Q95" i="98"/>
  <c r="T95" i="98" s="1"/>
  <c r="R106" i="98"/>
  <c r="K106" i="98"/>
  <c r="I119" i="98"/>
  <c r="L119" i="98" s="1"/>
  <c r="M123" i="98"/>
  <c r="J92" i="98"/>
  <c r="I91" i="98"/>
  <c r="L91" i="98" s="1"/>
  <c r="I109" i="98"/>
  <c r="L133" i="98"/>
  <c r="K92" i="98"/>
  <c r="I98" i="98"/>
  <c r="L98" i="98" s="1"/>
  <c r="K113" i="98"/>
  <c r="O71" i="98"/>
  <c r="S50" i="98"/>
  <c r="S85" i="98"/>
  <c r="O92" i="98"/>
  <c r="K120" i="98"/>
  <c r="P126" i="98"/>
  <c r="N134" i="98"/>
  <c r="N57" i="98"/>
  <c r="S78" i="98"/>
  <c r="O106" i="98"/>
  <c r="I112" i="98"/>
  <c r="L112" i="98" s="1"/>
  <c r="O57" i="98"/>
  <c r="N85" i="98"/>
  <c r="I81" i="98"/>
  <c r="Q104" i="98"/>
  <c r="T104" i="98" s="1"/>
  <c r="Q123" i="98"/>
  <c r="T123" i="98" s="1"/>
  <c r="N50" i="98"/>
  <c r="I76" i="98"/>
  <c r="L74" i="98" s="1"/>
  <c r="J113" i="98"/>
  <c r="Q116" i="98"/>
  <c r="T116" i="98" s="1"/>
  <c r="M125" i="98"/>
  <c r="P123" i="98" s="1"/>
  <c r="O50" i="98"/>
  <c r="K50" i="98"/>
  <c r="Q55" i="98"/>
  <c r="T55" i="98" s="1"/>
  <c r="J71" i="98"/>
  <c r="M70" i="98"/>
  <c r="R99" i="98"/>
  <c r="Q101" i="98"/>
  <c r="T101" i="98" s="1"/>
  <c r="I105" i="98"/>
  <c r="L105" i="98" s="1"/>
  <c r="S113" i="98"/>
  <c r="Q112" i="98"/>
  <c r="T112" i="98" s="1"/>
  <c r="N120" i="98"/>
  <c r="P29" i="98"/>
  <c r="T59" i="98"/>
  <c r="M63" i="98"/>
  <c r="P63" i="98" s="1"/>
  <c r="M90" i="98"/>
  <c r="P90" i="98" s="1"/>
  <c r="M88" i="98"/>
  <c r="I97" i="98"/>
  <c r="L97" i="98" s="1"/>
  <c r="I95" i="98"/>
  <c r="M118" i="98"/>
  <c r="P118" i="98" s="1"/>
  <c r="M116" i="98"/>
  <c r="T29" i="98"/>
  <c r="P45" i="98"/>
  <c r="P129" i="98"/>
  <c r="Q29" i="98"/>
  <c r="T25" i="98"/>
  <c r="Q66" i="98"/>
  <c r="S71" i="98"/>
  <c r="P23" i="98"/>
  <c r="I69" i="98"/>
  <c r="I67" i="98"/>
  <c r="K99" i="98"/>
  <c r="Q122" i="98"/>
  <c r="S127" i="98"/>
  <c r="P101" i="98"/>
  <c r="T16" i="98"/>
  <c r="K71" i="98"/>
  <c r="T87" i="98"/>
  <c r="Q94" i="98"/>
  <c r="S99" i="98"/>
  <c r="M119" i="98"/>
  <c r="P119" i="98" s="1"/>
  <c r="T115" i="98"/>
  <c r="P73" i="98"/>
  <c r="M91" i="98"/>
  <c r="P91" i="98" s="1"/>
  <c r="M62" i="98"/>
  <c r="P60" i="98" s="1"/>
  <c r="M60" i="98"/>
  <c r="L29" i="98"/>
  <c r="T53" i="98"/>
  <c r="I125" i="98"/>
  <c r="I123" i="98"/>
  <c r="J106" i="98"/>
  <c r="L18" i="98"/>
  <c r="L39" i="98"/>
  <c r="N71" i="98"/>
  <c r="T83" i="98"/>
  <c r="N99" i="98"/>
  <c r="T111" i="98"/>
  <c r="N127" i="98"/>
  <c r="T130" i="98"/>
  <c r="L32" i="98"/>
  <c r="L80" i="98"/>
  <c r="L108" i="98"/>
  <c r="Q23" i="98"/>
  <c r="T23" i="98" s="1"/>
  <c r="T45" i="98"/>
  <c r="P52" i="98"/>
  <c r="I55" i="98"/>
  <c r="L55" i="98" s="1"/>
  <c r="I56" i="98"/>
  <c r="L56" i="98" s="1"/>
  <c r="T73" i="98"/>
  <c r="P80" i="98"/>
  <c r="Q81" i="98"/>
  <c r="T81" i="98" s="1"/>
  <c r="I83" i="98"/>
  <c r="L83" i="98" s="1"/>
  <c r="I84" i="98"/>
  <c r="L84" i="98" s="1"/>
  <c r="P108" i="98"/>
  <c r="Q109" i="98"/>
  <c r="I111" i="98"/>
  <c r="I130" i="98"/>
  <c r="M132" i="98"/>
  <c r="P132" i="98" s="1"/>
  <c r="M133" i="98"/>
  <c r="P133" i="98" s="1"/>
  <c r="T11" i="98"/>
  <c r="J50" i="98"/>
  <c r="I46" i="98"/>
  <c r="M48" i="98"/>
  <c r="P46" i="98" s="1"/>
  <c r="M49" i="98"/>
  <c r="P49" i="98" s="1"/>
  <c r="L59" i="98"/>
  <c r="S64" i="98"/>
  <c r="I74" i="98"/>
  <c r="M76" i="98"/>
  <c r="P74" i="98" s="1"/>
  <c r="M77" i="98"/>
  <c r="P77" i="98" s="1"/>
  <c r="L87" i="98"/>
  <c r="S92" i="98"/>
  <c r="I102" i="98"/>
  <c r="M104" i="98"/>
  <c r="P102" i="98" s="1"/>
  <c r="M105" i="98"/>
  <c r="S120" i="98"/>
  <c r="K57" i="98"/>
  <c r="K85" i="98"/>
  <c r="N106" i="98"/>
  <c r="P59" i="98"/>
  <c r="P87" i="98"/>
  <c r="P115" i="98"/>
  <c r="I118" i="98"/>
  <c r="M55" i="98"/>
  <c r="P53" i="98" s="1"/>
  <c r="M56" i="98"/>
  <c r="P56" i="98" s="1"/>
  <c r="M83" i="98"/>
  <c r="P81" i="98" s="1"/>
  <c r="M84" i="98"/>
  <c r="P84" i="98" s="1"/>
  <c r="M111" i="98"/>
  <c r="P109" i="98" s="1"/>
  <c r="M112" i="98"/>
  <c r="P112" i="98" s="1"/>
  <c r="M130" i="98"/>
  <c r="Q132" i="98"/>
  <c r="T132" i="98" s="1"/>
  <c r="Q133" i="98"/>
  <c r="T133" i="98" s="1"/>
  <c r="U13" i="82"/>
  <c r="X13" i="82" s="1"/>
  <c r="K45" i="61"/>
  <c r="N45" i="61" s="1"/>
  <c r="U13" i="92"/>
  <c r="K45" i="97"/>
  <c r="N45" i="97" s="1"/>
  <c r="O45" i="97"/>
  <c r="R45" i="97" s="1"/>
  <c r="V13" i="92"/>
  <c r="M13" i="92"/>
  <c r="D45" i="61"/>
  <c r="Q9" i="92"/>
  <c r="L43" i="61"/>
  <c r="K43" i="61" s="1"/>
  <c r="O43" i="97"/>
  <c r="R43" i="97" s="1"/>
  <c r="T9" i="91"/>
  <c r="X13" i="91"/>
  <c r="Y13" i="91"/>
  <c r="C43" i="61"/>
  <c r="F43" i="61" s="1"/>
  <c r="L12" i="91"/>
  <c r="Y9" i="91"/>
  <c r="X9" i="91"/>
  <c r="T9" i="88"/>
  <c r="K39" i="97"/>
  <c r="N39" i="97" s="1"/>
  <c r="O39" i="61"/>
  <c r="R39" i="61" s="1"/>
  <c r="H39" i="97"/>
  <c r="P39" i="97"/>
  <c r="Y9" i="88"/>
  <c r="E39" i="61"/>
  <c r="I13" i="88"/>
  <c r="L13" i="88" s="1"/>
  <c r="D39" i="61"/>
  <c r="X9" i="88"/>
  <c r="H39" i="61"/>
  <c r="M39" i="61"/>
  <c r="D39" i="97"/>
  <c r="U13" i="89"/>
  <c r="X13" i="89" s="1"/>
  <c r="M37" i="61"/>
  <c r="Y9" i="89"/>
  <c r="L37" i="61"/>
  <c r="D37" i="61"/>
  <c r="Q13" i="89"/>
  <c r="T13" i="89" s="1"/>
  <c r="M13" i="89"/>
  <c r="P13" i="89" s="1"/>
  <c r="Y12" i="89"/>
  <c r="I37" i="97"/>
  <c r="G37" i="97" s="1"/>
  <c r="J37" i="97" s="1"/>
  <c r="X11" i="89"/>
  <c r="Y11" i="89"/>
  <c r="G37" i="61"/>
  <c r="J37" i="61" s="1"/>
  <c r="P37" i="61"/>
  <c r="O37" i="61" s="1"/>
  <c r="R37" i="61" s="1"/>
  <c r="I13" i="89"/>
  <c r="L13" i="89" s="1"/>
  <c r="Y10" i="89"/>
  <c r="K37" i="97"/>
  <c r="N37" i="97" s="1"/>
  <c r="C37" i="97"/>
  <c r="F37" i="97" s="1"/>
  <c r="P10" i="89"/>
  <c r="L10" i="89"/>
  <c r="R37" i="97"/>
  <c r="T10" i="89"/>
  <c r="Q35" i="61"/>
  <c r="P35" i="61"/>
  <c r="G35" i="97"/>
  <c r="J35" i="97" s="1"/>
  <c r="X9" i="90"/>
  <c r="D35" i="61"/>
  <c r="I13" i="90"/>
  <c r="L13" i="90" s="1"/>
  <c r="M13" i="90"/>
  <c r="P13" i="90" s="1"/>
  <c r="C35" i="97"/>
  <c r="F35" i="97" s="1"/>
  <c r="K35" i="97"/>
  <c r="N35" i="97" s="1"/>
  <c r="X13" i="90"/>
  <c r="O35" i="97"/>
  <c r="R35" i="97" s="1"/>
  <c r="P9" i="90"/>
  <c r="Q13" i="90"/>
  <c r="T13" i="90" s="1"/>
  <c r="Y9" i="90"/>
  <c r="E35" i="61"/>
  <c r="M35" i="61"/>
  <c r="K35" i="61" s="1"/>
  <c r="N35" i="61" s="1"/>
  <c r="M33" i="61"/>
  <c r="U13" i="86"/>
  <c r="X13" i="86" s="1"/>
  <c r="X9" i="86"/>
  <c r="Q33" i="61"/>
  <c r="Q13" i="86"/>
  <c r="P12" i="86"/>
  <c r="P33" i="61"/>
  <c r="C33" i="61"/>
  <c r="F33" i="61" s="1"/>
  <c r="M33" i="97"/>
  <c r="K33" i="97" s="1"/>
  <c r="N33" i="97" s="1"/>
  <c r="Y13" i="86"/>
  <c r="O33" i="97"/>
  <c r="R33" i="97" s="1"/>
  <c r="C33" i="97"/>
  <c r="F33" i="97" s="1"/>
  <c r="L33" i="61"/>
  <c r="T13" i="86"/>
  <c r="E31" i="97"/>
  <c r="C31" i="97" s="1"/>
  <c r="F31" i="97" s="1"/>
  <c r="P9" i="84"/>
  <c r="D31" i="61"/>
  <c r="C31" i="61" s="1"/>
  <c r="F31" i="61" s="1"/>
  <c r="X13" i="84"/>
  <c r="G31" i="97"/>
  <c r="J31" i="97" s="1"/>
  <c r="I13" i="84"/>
  <c r="L13" i="84" s="1"/>
  <c r="T9" i="84"/>
  <c r="Q31" i="61"/>
  <c r="O31" i="61" s="1"/>
  <c r="R31" i="61" s="1"/>
  <c r="G29" i="97"/>
  <c r="J29" i="97" s="1"/>
  <c r="H29" i="61"/>
  <c r="G29" i="61" s="1"/>
  <c r="J29" i="61" s="1"/>
  <c r="P13" i="83"/>
  <c r="Q13" i="83"/>
  <c r="T13" i="83" s="1"/>
  <c r="I13" i="83"/>
  <c r="L13" i="83" s="1"/>
  <c r="X10" i="83"/>
  <c r="K29" i="97"/>
  <c r="N29" i="97" s="1"/>
  <c r="Y13" i="83"/>
  <c r="X13" i="83"/>
  <c r="O29" i="97"/>
  <c r="R29" i="97" s="1"/>
  <c r="C29" i="61"/>
  <c r="F29" i="61" s="1"/>
  <c r="L9" i="83"/>
  <c r="D29" i="97"/>
  <c r="T10" i="83"/>
  <c r="P29" i="61"/>
  <c r="H27" i="61"/>
  <c r="G27" i="61" s="1"/>
  <c r="J27" i="61" s="1"/>
  <c r="I13" i="93"/>
  <c r="L13" i="93" s="1"/>
  <c r="L27" i="61"/>
  <c r="K27" i="61" s="1"/>
  <c r="K27" i="97"/>
  <c r="N27" i="97" s="1"/>
  <c r="C27" i="97"/>
  <c r="F27" i="97" s="1"/>
  <c r="D27" i="61"/>
  <c r="P27" i="61"/>
  <c r="P9" i="93"/>
  <c r="T12" i="93"/>
  <c r="P27" i="97"/>
  <c r="O27" i="97" s="1"/>
  <c r="U13" i="93"/>
  <c r="X9" i="93"/>
  <c r="I27" i="97"/>
  <c r="G27" i="97" s="1"/>
  <c r="J27" i="97" s="1"/>
  <c r="P25" i="61"/>
  <c r="O25" i="61" s="1"/>
  <c r="R25" i="61" s="1"/>
  <c r="H25" i="61"/>
  <c r="G25" i="61" s="1"/>
  <c r="J25" i="61" s="1"/>
  <c r="K25" i="97"/>
  <c r="N25" i="97" s="1"/>
  <c r="M13" i="81"/>
  <c r="P13" i="81" s="1"/>
  <c r="Q13" i="81"/>
  <c r="T13" i="81" s="1"/>
  <c r="Y9" i="81"/>
  <c r="O25" i="97"/>
  <c r="R25" i="97" s="1"/>
  <c r="G25" i="97"/>
  <c r="J25" i="97" s="1"/>
  <c r="F25" i="97"/>
  <c r="I13" i="82"/>
  <c r="L13" i="82"/>
  <c r="Q13" i="82"/>
  <c r="T13" i="82" s="1"/>
  <c r="K23" i="97"/>
  <c r="N23" i="97" s="1"/>
  <c r="O23" i="97"/>
  <c r="R23" i="97" s="1"/>
  <c r="G23" i="97"/>
  <c r="J23" i="97" s="1"/>
  <c r="L23" i="61"/>
  <c r="X11" i="82"/>
  <c r="D23" i="97"/>
  <c r="D23" i="61"/>
  <c r="R23" i="61"/>
  <c r="T11" i="82"/>
  <c r="L9" i="67"/>
  <c r="Q13" i="67"/>
  <c r="T13" i="67" s="1"/>
  <c r="P19" i="97"/>
  <c r="O19" i="97" s="1"/>
  <c r="T9" i="67"/>
  <c r="L19" i="61"/>
  <c r="M19" i="61"/>
  <c r="M13" i="67"/>
  <c r="P13" i="67" s="1"/>
  <c r="K19" i="97"/>
  <c r="N19" i="97" s="1"/>
  <c r="L13" i="67"/>
  <c r="D19" i="61"/>
  <c r="E19" i="97"/>
  <c r="C19" i="97" s="1"/>
  <c r="F19" i="97" s="1"/>
  <c r="Y9" i="67"/>
  <c r="U13" i="67"/>
  <c r="Q13" i="80"/>
  <c r="T13" i="80" s="1"/>
  <c r="K21" i="97"/>
  <c r="N21" i="97" s="1"/>
  <c r="C21" i="61"/>
  <c r="F21" i="61" s="1"/>
  <c r="X13" i="80"/>
  <c r="G21" i="97"/>
  <c r="J21" i="97" s="1"/>
  <c r="O21" i="97"/>
  <c r="R21" i="97" s="1"/>
  <c r="P12" i="80"/>
  <c r="M13" i="80"/>
  <c r="P13" i="80" s="1"/>
  <c r="L21" i="61"/>
  <c r="R21" i="61"/>
  <c r="D17" i="61"/>
  <c r="X12" i="66"/>
  <c r="U13" i="66"/>
  <c r="X13" i="66" s="1"/>
  <c r="P17" i="61"/>
  <c r="O17" i="61" s="1"/>
  <c r="R17" i="61" s="1"/>
  <c r="Y9" i="66"/>
  <c r="L17" i="61"/>
  <c r="K17" i="61" s="1"/>
  <c r="N17" i="61" s="1"/>
  <c r="I13" i="66"/>
  <c r="L13" i="66" s="1"/>
  <c r="C17" i="97"/>
  <c r="F17" i="97" s="1"/>
  <c r="Y10" i="66"/>
  <c r="Q13" i="66"/>
  <c r="I17" i="97"/>
  <c r="G17" i="97" s="1"/>
  <c r="J17" i="97" s="1"/>
  <c r="Q17" i="97"/>
  <c r="O17" i="97" s="1"/>
  <c r="R17" i="97" s="1"/>
  <c r="M13" i="66"/>
  <c r="P13" i="66" s="1"/>
  <c r="X11" i="66"/>
  <c r="E17" i="61"/>
  <c r="P10" i="66"/>
  <c r="M17" i="97"/>
  <c r="K17" i="97" s="1"/>
  <c r="N17" i="97" s="1"/>
  <c r="P15" i="97"/>
  <c r="P12" i="65"/>
  <c r="L15" i="61"/>
  <c r="K15" i="61" s="1"/>
  <c r="N15" i="61" s="1"/>
  <c r="I13" i="65"/>
  <c r="L13" i="65" s="1"/>
  <c r="Q13" i="65"/>
  <c r="T13" i="65" s="1"/>
  <c r="Q13" i="64"/>
  <c r="G13" i="61"/>
  <c r="J13" i="61" s="1"/>
  <c r="L13" i="97"/>
  <c r="K13" i="97" s="1"/>
  <c r="N13" i="97" s="1"/>
  <c r="Y11" i="64"/>
  <c r="M13" i="61"/>
  <c r="K13" i="61" s="1"/>
  <c r="N13" i="61" s="1"/>
  <c r="M11" i="61"/>
  <c r="K11" i="61" s="1"/>
  <c r="N11" i="61" s="1"/>
  <c r="E11" i="97"/>
  <c r="U13" i="65"/>
  <c r="X13" i="65" s="1"/>
  <c r="C15" i="97"/>
  <c r="F15" i="97" s="1"/>
  <c r="G15" i="97"/>
  <c r="J15" i="97" s="1"/>
  <c r="K15" i="97"/>
  <c r="N15" i="97" s="1"/>
  <c r="L10" i="65"/>
  <c r="Q15" i="97"/>
  <c r="Y9" i="65"/>
  <c r="M13" i="65"/>
  <c r="P13" i="65" s="1"/>
  <c r="Y10" i="65"/>
  <c r="P15" i="61"/>
  <c r="T13" i="64"/>
  <c r="Y9" i="64"/>
  <c r="H13" i="97"/>
  <c r="G13" i="97" s="1"/>
  <c r="J13" i="97" s="1"/>
  <c r="C13" i="97"/>
  <c r="F13" i="97" s="1"/>
  <c r="D13" i="61"/>
  <c r="C13" i="61" s="1"/>
  <c r="F13" i="61" s="1"/>
  <c r="O13" i="61"/>
  <c r="R13" i="61" s="1"/>
  <c r="U13" i="64"/>
  <c r="X9" i="64"/>
  <c r="T9" i="64"/>
  <c r="Y12" i="64"/>
  <c r="Y10" i="64"/>
  <c r="X11" i="64"/>
  <c r="U13" i="41"/>
  <c r="X13" i="41" s="1"/>
  <c r="L11" i="97"/>
  <c r="P10" i="41"/>
  <c r="X9" i="41"/>
  <c r="O11" i="97"/>
  <c r="R11" i="97" s="1"/>
  <c r="Y9" i="41"/>
  <c r="M13" i="41"/>
  <c r="P11" i="41" s="1"/>
  <c r="H11" i="61"/>
  <c r="I11" i="97"/>
  <c r="C11" i="61"/>
  <c r="F11" i="61" s="1"/>
  <c r="D11" i="97"/>
  <c r="I13" i="41"/>
  <c r="L13" i="41" s="1"/>
  <c r="L9" i="41"/>
  <c r="L104" i="98" l="1"/>
  <c r="P88" i="98"/>
  <c r="M71" i="98"/>
  <c r="P71" i="98" s="1"/>
  <c r="P69" i="98"/>
  <c r="L88" i="98"/>
  <c r="Q78" i="98"/>
  <c r="T78" i="98" s="1"/>
  <c r="L48" i="98"/>
  <c r="Q50" i="98"/>
  <c r="T50" i="98" s="1"/>
  <c r="I64" i="98"/>
  <c r="L64" i="98" s="1"/>
  <c r="P116" i="98"/>
  <c r="M106" i="98"/>
  <c r="P106" i="98" s="1"/>
  <c r="I50" i="98"/>
  <c r="L50" i="98" s="1"/>
  <c r="O11" i="61"/>
  <c r="R11" i="61" s="1"/>
  <c r="I134" i="98"/>
  <c r="L134" i="98" s="1"/>
  <c r="I113" i="98"/>
  <c r="L113" i="98" s="1"/>
  <c r="P104" i="98"/>
  <c r="I92" i="98"/>
  <c r="L92" i="98" s="1"/>
  <c r="Q120" i="98"/>
  <c r="T120" i="98" s="1"/>
  <c r="P48" i="98"/>
  <c r="L60" i="98"/>
  <c r="Q134" i="98"/>
  <c r="T134" i="98" s="1"/>
  <c r="Q64" i="98"/>
  <c r="T64" i="98" s="1"/>
  <c r="L132" i="98"/>
  <c r="I71" i="98"/>
  <c r="L71" i="98" s="1"/>
  <c r="M134" i="98"/>
  <c r="P134" i="98" s="1"/>
  <c r="L76" i="98"/>
  <c r="M99" i="98"/>
  <c r="P99" i="98" s="1"/>
  <c r="O137" i="98"/>
  <c r="I120" i="98"/>
  <c r="L120" i="98" s="1"/>
  <c r="M127" i="98"/>
  <c r="P127" i="98" s="1"/>
  <c r="M120" i="98"/>
  <c r="P120" i="98" s="1"/>
  <c r="P97" i="98"/>
  <c r="I127" i="98"/>
  <c r="L127" i="98" s="1"/>
  <c r="I57" i="98"/>
  <c r="L57" i="98" s="1"/>
  <c r="R137" i="98"/>
  <c r="Q137" i="98" s="1"/>
  <c r="T137" i="98" s="1"/>
  <c r="P130" i="98"/>
  <c r="Q92" i="98"/>
  <c r="T92" i="98" s="1"/>
  <c r="P105" i="98"/>
  <c r="Y13" i="84"/>
  <c r="J43" i="97"/>
  <c r="S41" i="97"/>
  <c r="W13" i="87"/>
  <c r="J41" i="61"/>
  <c r="Y13" i="88"/>
  <c r="J31" i="61"/>
  <c r="K39" i="61"/>
  <c r="N39" i="61" s="1"/>
  <c r="O45" i="61"/>
  <c r="R45" i="61" s="1"/>
  <c r="I47" i="61"/>
  <c r="N27" i="61"/>
  <c r="N29" i="61"/>
  <c r="F17" i="61"/>
  <c r="O27" i="61"/>
  <c r="J19" i="97"/>
  <c r="L47" i="97"/>
  <c r="E47" i="97"/>
  <c r="N43" i="61"/>
  <c r="K41" i="97"/>
  <c r="N41" i="97" s="1"/>
  <c r="K41" i="61"/>
  <c r="N41" i="61" s="1"/>
  <c r="Y13" i="93"/>
  <c r="S27" i="61" s="1"/>
  <c r="H47" i="61"/>
  <c r="Y13" i="80"/>
  <c r="Y13" i="67"/>
  <c r="O15" i="97"/>
  <c r="R15" i="97" s="1"/>
  <c r="I78" i="98"/>
  <c r="L78" i="98" s="1"/>
  <c r="L95" i="98"/>
  <c r="K137" i="98"/>
  <c r="M78" i="98"/>
  <c r="P78" i="98" s="1"/>
  <c r="I99" i="98"/>
  <c r="L99" i="98" s="1"/>
  <c r="S137" i="98"/>
  <c r="Q57" i="98"/>
  <c r="T57" i="98" s="1"/>
  <c r="M92" i="98"/>
  <c r="P92" i="98" s="1"/>
  <c r="Q106" i="98"/>
  <c r="T106" i="98" s="1"/>
  <c r="P125" i="98"/>
  <c r="P83" i="98"/>
  <c r="M57" i="98"/>
  <c r="P57" i="98" s="1"/>
  <c r="Y13" i="41"/>
  <c r="S11" i="61" s="1"/>
  <c r="M64" i="98"/>
  <c r="P64" i="98" s="1"/>
  <c r="M50" i="98"/>
  <c r="P50" i="98" s="1"/>
  <c r="I106" i="98"/>
  <c r="L106" i="98" s="1"/>
  <c r="P62" i="98"/>
  <c r="P70" i="98"/>
  <c r="I85" i="98"/>
  <c r="L85" i="98" s="1"/>
  <c r="Q127" i="98"/>
  <c r="T127" i="98" s="1"/>
  <c r="T122" i="98"/>
  <c r="Q71" i="98"/>
  <c r="T71" i="98" s="1"/>
  <c r="T66" i="98"/>
  <c r="P111" i="98"/>
  <c r="P55" i="98"/>
  <c r="L53" i="98"/>
  <c r="P76" i="98"/>
  <c r="L109" i="98"/>
  <c r="L111" i="98"/>
  <c r="N137" i="98"/>
  <c r="T109" i="98"/>
  <c r="Q113" i="98"/>
  <c r="T113" i="98" s="1"/>
  <c r="L125" i="98"/>
  <c r="L123" i="98"/>
  <c r="M113" i="98"/>
  <c r="P113" i="98" s="1"/>
  <c r="Q85" i="98"/>
  <c r="T85" i="98" s="1"/>
  <c r="M85" i="98"/>
  <c r="P85" i="98" s="1"/>
  <c r="Q99" i="98"/>
  <c r="T99" i="98" s="1"/>
  <c r="T94" i="98"/>
  <c r="L69" i="98"/>
  <c r="L67" i="98"/>
  <c r="L118" i="98"/>
  <c r="L116" i="98"/>
  <c r="L81" i="98"/>
  <c r="J137" i="98"/>
  <c r="Y13" i="92"/>
  <c r="Z13" i="92"/>
  <c r="C45" i="61"/>
  <c r="F45" i="61" s="1"/>
  <c r="S43" i="61"/>
  <c r="S43" i="97"/>
  <c r="O39" i="97"/>
  <c r="R39" i="97" s="1"/>
  <c r="G39" i="97"/>
  <c r="J39" i="97" s="1"/>
  <c r="C39" i="97"/>
  <c r="F39" i="97" s="1"/>
  <c r="G39" i="61"/>
  <c r="J39" i="61" s="1"/>
  <c r="C39" i="61"/>
  <c r="F39" i="61" s="1"/>
  <c r="S39" i="97"/>
  <c r="S39" i="61"/>
  <c r="K37" i="61"/>
  <c r="N37" i="61" s="1"/>
  <c r="C37" i="61"/>
  <c r="F37" i="61" s="1"/>
  <c r="Y13" i="89"/>
  <c r="S37" i="97"/>
  <c r="S37" i="61"/>
  <c r="Y13" i="90"/>
  <c r="C35" i="61"/>
  <c r="F35" i="61" s="1"/>
  <c r="O35" i="61"/>
  <c r="R35" i="61" s="1"/>
  <c r="S35" i="97"/>
  <c r="S35" i="61"/>
  <c r="O33" i="61"/>
  <c r="R33" i="61" s="1"/>
  <c r="K33" i="61"/>
  <c r="N33" i="61"/>
  <c r="S33" i="61"/>
  <c r="S33" i="97"/>
  <c r="Q47" i="61"/>
  <c r="S31" i="61"/>
  <c r="S31" i="97"/>
  <c r="O29" i="61"/>
  <c r="R29" i="61" s="1"/>
  <c r="C29" i="97"/>
  <c r="F29" i="97" s="1"/>
  <c r="S29" i="97"/>
  <c r="S29" i="61"/>
  <c r="S27" i="97"/>
  <c r="P47" i="61"/>
  <c r="X13" i="93"/>
  <c r="C27" i="61"/>
  <c r="F27" i="61" s="1"/>
  <c r="P47" i="97"/>
  <c r="Y13" i="81"/>
  <c r="S25" i="61"/>
  <c r="S25" i="97"/>
  <c r="Y13" i="82"/>
  <c r="S23" i="61" s="1"/>
  <c r="S23" i="97"/>
  <c r="C23" i="61"/>
  <c r="F23" i="61"/>
  <c r="C23" i="97"/>
  <c r="F23" i="97" s="1"/>
  <c r="K23" i="61"/>
  <c r="N23" i="61" s="1"/>
  <c r="K19" i="61"/>
  <c r="N19" i="61" s="1"/>
  <c r="M47" i="61"/>
  <c r="C19" i="61"/>
  <c r="F19" i="61" s="1"/>
  <c r="X13" i="67"/>
  <c r="S19" i="61"/>
  <c r="S19" i="97"/>
  <c r="K21" i="61"/>
  <c r="N21" i="61" s="1"/>
  <c r="S21" i="61"/>
  <c r="S21" i="97"/>
  <c r="L47" i="61"/>
  <c r="Y13" i="66"/>
  <c r="T13" i="66"/>
  <c r="M47" i="97"/>
  <c r="E47" i="61"/>
  <c r="H47" i="97"/>
  <c r="Y13" i="65"/>
  <c r="S15" i="61"/>
  <c r="S15" i="97"/>
  <c r="O15" i="61"/>
  <c r="R15" i="61" s="1"/>
  <c r="Q47" i="97"/>
  <c r="D47" i="61"/>
  <c r="X13" i="64"/>
  <c r="Y13" i="64"/>
  <c r="K11" i="97"/>
  <c r="N11" i="97" s="1"/>
  <c r="P13" i="41"/>
  <c r="P12" i="41"/>
  <c r="G11" i="61"/>
  <c r="J11" i="61" s="1"/>
  <c r="G11" i="97"/>
  <c r="J11" i="97" s="1"/>
  <c r="I47" i="97"/>
  <c r="C11" i="97"/>
  <c r="F11" i="97" s="1"/>
  <c r="D47" i="97"/>
  <c r="S11" i="97" l="1"/>
  <c r="K47" i="97"/>
  <c r="N47" i="97" s="1"/>
  <c r="G47" i="61"/>
  <c r="J47" i="61" s="1"/>
  <c r="M137" i="98"/>
  <c r="P137" i="98" s="1"/>
  <c r="I137" i="98"/>
  <c r="L137" i="98"/>
  <c r="S45" i="97"/>
  <c r="S45" i="61"/>
  <c r="O47" i="61"/>
  <c r="O47" i="97"/>
  <c r="R27" i="97"/>
  <c r="R27" i="61"/>
  <c r="C47" i="61"/>
  <c r="F47" i="61" s="1"/>
  <c r="K47" i="61"/>
  <c r="N47" i="61" s="1"/>
  <c r="R19" i="97"/>
  <c r="R19" i="61"/>
  <c r="G47" i="97"/>
  <c r="J47" i="97" s="1"/>
  <c r="S17" i="97"/>
  <c r="S17" i="61"/>
  <c r="S13" i="61"/>
  <c r="S13" i="97"/>
  <c r="C47" i="97"/>
  <c r="F47" i="97" s="1"/>
  <c r="R47" i="97" l="1"/>
  <c r="S47" i="97"/>
  <c r="R47" i="61"/>
  <c r="S47" i="61"/>
  <c r="E2" i="98"/>
</calcChain>
</file>

<file path=xl/sharedStrings.xml><?xml version="1.0" encoding="utf-8"?>
<sst xmlns="http://schemas.openxmlformats.org/spreadsheetml/2006/main" count="957" uniqueCount="141">
  <si>
    <t>TOTAL</t>
  </si>
  <si>
    <t>Feed And Detailed Engineering And Other Engineering Services</t>
  </si>
  <si>
    <t>Fabrication And Construction</t>
  </si>
  <si>
    <t>Well &amp; Drilling Services / Petroleum Technology</t>
  </si>
  <si>
    <t>Exploration, Subsurface, Petroleum Engineering &amp; Seismic</t>
  </si>
  <si>
    <t>Health, Safety &amp; Environment</t>
  </si>
  <si>
    <t>S/#</t>
  </si>
  <si>
    <t>CONTRACT DETAILS</t>
  </si>
  <si>
    <t>REMARKS / UPDATE</t>
  </si>
  <si>
    <t>Transportation / Supply / Disposal Services</t>
  </si>
  <si>
    <t>Surveying / Positioning Services</t>
  </si>
  <si>
    <t>Information Systems / Information Technology / Communication Services</t>
  </si>
  <si>
    <t>NC %</t>
  </si>
  <si>
    <t>FEED AND DETAILED ENGINEERING AND OTHER ENGINEERING SERVICES</t>
  </si>
  <si>
    <t>FABRICATION AND CONSTRUCTION</t>
  </si>
  <si>
    <t xml:space="preserve"> MATERIALS AND PROCUREMENT</t>
  </si>
  <si>
    <t>Materials And Procurement</t>
  </si>
  <si>
    <t>Research And Development</t>
  </si>
  <si>
    <t>Marine, Operations &amp; Logistics Services</t>
  </si>
  <si>
    <t>Finance &amp; Insurance</t>
  </si>
  <si>
    <t>Installation, Hookup &amp; Commissioning</t>
  </si>
  <si>
    <t>Inspection, Testing &amp; Certification</t>
  </si>
  <si>
    <t>Project Management / Consulting Services</t>
  </si>
  <si>
    <t>Modification &amp; Maintenance</t>
  </si>
  <si>
    <t>Shipping</t>
  </si>
  <si>
    <t>Others</t>
  </si>
  <si>
    <t>EXPLORATION, SUBSURFACE, PETROLEUM ENGINEERING &amp; SEISMIC</t>
  </si>
  <si>
    <t>FINANCE &amp; INSURANCE</t>
  </si>
  <si>
    <t>INSTALLATION, HOOKUP &amp; COMMISSIONING</t>
  </si>
  <si>
    <t>INSPECTION, TESTING &amp; CERTIFICATION</t>
  </si>
  <si>
    <t>PROJECT MANAGEMENT / CONSULTING SERVICES</t>
  </si>
  <si>
    <t>SURVEYING/POSITIONING SERVICES</t>
  </si>
  <si>
    <t>MODIFICATION &amp; MAINTENANCE</t>
  </si>
  <si>
    <t>SHIPPING</t>
  </si>
  <si>
    <t>SUMMARY OF DELIVERABLES</t>
  </si>
  <si>
    <t>WP %</t>
  </si>
  <si>
    <t>Summary</t>
  </si>
  <si>
    <t>#1</t>
  </si>
  <si>
    <t>#2</t>
  </si>
  <si>
    <t>#3</t>
  </si>
  <si>
    <t>#4</t>
  </si>
  <si>
    <t>#5</t>
  </si>
  <si>
    <t>#6</t>
  </si>
  <si>
    <t>#7</t>
  </si>
  <si>
    <t>#8</t>
  </si>
  <si>
    <t>#9</t>
  </si>
  <si>
    <t>#10</t>
  </si>
  <si>
    <t>#11</t>
  </si>
  <si>
    <t>#12</t>
  </si>
  <si>
    <t>#13</t>
  </si>
  <si>
    <t>#14</t>
  </si>
  <si>
    <t>#15</t>
  </si>
  <si>
    <t>#16</t>
  </si>
  <si>
    <t>#17</t>
  </si>
  <si>
    <t>#18</t>
  </si>
  <si>
    <t>SCHEDULE TO THE NOGICD ACT (TABLE OF CONTENT)</t>
  </si>
  <si>
    <t>ACTIVITY/ WORK PACKAGE</t>
  </si>
  <si>
    <t>SCOPE DETAILS</t>
  </si>
  <si>
    <t>SUBCONTRACTOR/ VENDOR DETAILS</t>
  </si>
  <si>
    <t>SubTotal</t>
  </si>
  <si>
    <t>NCEC NUMBER</t>
  </si>
  <si>
    <t>TOTAL ($)</t>
  </si>
  <si>
    <r>
      <t xml:space="preserve">QUANTITY
</t>
    </r>
    <r>
      <rPr>
        <i/>
        <sz val="14"/>
        <color theme="1"/>
        <rFont val="Futura Bk BT"/>
      </rPr>
      <t>(Man Hours)</t>
    </r>
  </si>
  <si>
    <t>*DO NOT POPULATE THIS SUMMARY SHEET*</t>
  </si>
  <si>
    <t>PROJECT COST/ VALUE (PLAN)</t>
  </si>
  <si>
    <t>NC%</t>
  </si>
  <si>
    <t xml:space="preserve"> NOGIC JQS CERTIFICATE NO</t>
  </si>
  <si>
    <t>Project Total Value</t>
  </si>
  <si>
    <r>
      <t xml:space="preserve"> TIMELINE 
</t>
    </r>
    <r>
      <rPr>
        <i/>
        <sz val="14"/>
        <rFont val="Futura Bk BT"/>
      </rPr>
      <t>(Duration)</t>
    </r>
    <r>
      <rPr>
        <b/>
        <sz val="14"/>
        <rFont val="Futura Bk BT"/>
      </rPr>
      <t xml:space="preserve">
</t>
    </r>
  </si>
  <si>
    <r>
      <t xml:space="preserve">PERSONNEL 
</t>
    </r>
    <r>
      <rPr>
        <i/>
        <sz val="14"/>
        <rFont val="Futura Bk BT"/>
      </rPr>
      <t>(Headcount)</t>
    </r>
  </si>
  <si>
    <t>PROJECT/CONTRACT TITLE:</t>
  </si>
  <si>
    <t>PROJECT START DATE</t>
  </si>
  <si>
    <t>COMPLETION DATE</t>
  </si>
  <si>
    <t>NAME OF OPERATOR:</t>
  </si>
  <si>
    <t>NAME OF MAIN CONTRACTOR:</t>
  </si>
  <si>
    <t>TOTAL CONTRACT VALUE:</t>
  </si>
  <si>
    <t xml:space="preserve"> WELL &amp; DRILLING SERVICES / PETROLEUM TECHNOLOGY</t>
  </si>
  <si>
    <t xml:space="preserve"> RESEARCH AND DEVELOPMENT </t>
  </si>
  <si>
    <t xml:space="preserve"> TRANSPORTATION/SUPPLY/DISPOSAL SERVICES</t>
  </si>
  <si>
    <t xml:space="preserve">HEALTH, SAFETY &amp; ENVIRONMENT </t>
  </si>
  <si>
    <t xml:space="preserve">MARINE, OPERATIONS &amp; LOGISTICS SERVICES </t>
  </si>
  <si>
    <t xml:space="preserve">INFORMATION SYSTEMS/INFORMATION TECHNOLOGY/COMMUNICATION SERVICES </t>
  </si>
  <si>
    <t xml:space="preserve">*Do not add rows bolow the subtotal* </t>
  </si>
  <si>
    <t>*DO NOT POPULATE THIS CHART SHEET*</t>
  </si>
  <si>
    <r>
      <t xml:space="preserve">QUANTITY
</t>
    </r>
    <r>
      <rPr>
        <i/>
        <sz val="14"/>
        <color theme="1"/>
        <rFont val="Futura Bk BT"/>
      </rPr>
      <t>(M/h, Tonnage, Spend etc.)</t>
    </r>
  </si>
  <si>
    <t>SUB ACTIVITIES / DESCRIPTION</t>
  </si>
  <si>
    <t>WORK PROGRESS (WP) STATUS REPORT</t>
  </si>
  <si>
    <r>
      <t xml:space="preserve">NIGERIA </t>
    </r>
    <r>
      <rPr>
        <i/>
        <sz val="14"/>
        <color theme="1"/>
        <rFont val="Futura Bk BT"/>
      </rPr>
      <t>(Scope)</t>
    </r>
  </si>
  <si>
    <r>
      <t>FOREIGN</t>
    </r>
    <r>
      <rPr>
        <b/>
        <i/>
        <sz val="14"/>
        <color theme="1"/>
        <rFont val="Futura Bk BT"/>
      </rPr>
      <t xml:space="preserve"> </t>
    </r>
    <r>
      <rPr>
        <i/>
        <sz val="14"/>
        <color theme="1"/>
        <rFont val="Futura Bk BT"/>
      </rPr>
      <t>(Scope)</t>
    </r>
  </si>
  <si>
    <t xml:space="preserve">NIGERIA </t>
  </si>
  <si>
    <t>NIGERIA  ($)</t>
  </si>
  <si>
    <r>
      <t xml:space="preserve">NIGERIA  </t>
    </r>
    <r>
      <rPr>
        <i/>
        <sz val="14"/>
        <color theme="1"/>
        <rFont val="Futura Bk BT"/>
      </rPr>
      <t>(Scope)</t>
    </r>
  </si>
  <si>
    <t>NIGERIA ($)</t>
  </si>
  <si>
    <t>NIGERIA</t>
  </si>
  <si>
    <t>FOREIGN</t>
  </si>
  <si>
    <t>FOREIGN($)</t>
  </si>
  <si>
    <t xml:space="preserve"> FOREIGN ($)</t>
  </si>
  <si>
    <r>
      <t xml:space="preserve">NIGERIA </t>
    </r>
    <r>
      <rPr>
        <i/>
        <sz val="12"/>
        <color theme="1"/>
        <rFont val="Futura Bk BT"/>
      </rPr>
      <t>(Scope)</t>
    </r>
  </si>
  <si>
    <r>
      <t xml:space="preserve">FOREIGN </t>
    </r>
    <r>
      <rPr>
        <i/>
        <sz val="12"/>
        <color theme="1"/>
        <rFont val="Futura Bk BT"/>
      </rPr>
      <t>(Scope)</t>
    </r>
  </si>
  <si>
    <t>FOREIGN ($)</t>
  </si>
  <si>
    <t xml:space="preserve"> FOREIGN</t>
  </si>
  <si>
    <r>
      <t xml:space="preserve">QUANTITY
</t>
    </r>
    <r>
      <rPr>
        <i/>
        <sz val="14"/>
        <color theme="1"/>
        <rFont val="Futura Bk BT"/>
      </rPr>
      <t>(Tonnage)</t>
    </r>
  </si>
  <si>
    <r>
      <t>NIGERIA</t>
    </r>
    <r>
      <rPr>
        <i/>
        <sz val="14"/>
        <color theme="1"/>
        <rFont val="Futura Bk BT"/>
      </rPr>
      <t xml:space="preserve"> (Months)</t>
    </r>
  </si>
  <si>
    <r>
      <t xml:space="preserve">FOREIGN </t>
    </r>
    <r>
      <rPr>
        <i/>
        <sz val="14"/>
        <color theme="1"/>
        <rFont val="Futura Bk BT"/>
      </rPr>
      <t>(Months)</t>
    </r>
  </si>
  <si>
    <r>
      <t xml:space="preserve">TIMELINE
</t>
    </r>
    <r>
      <rPr>
        <i/>
        <sz val="12"/>
        <color theme="1"/>
        <rFont val="Futura Bk BT"/>
      </rPr>
      <t>(Duration)</t>
    </r>
  </si>
  <si>
    <r>
      <t xml:space="preserve">QUANTITY
</t>
    </r>
    <r>
      <rPr>
        <i/>
        <sz val="12"/>
        <color theme="1"/>
        <rFont val="Futura Bk BT"/>
      </rPr>
      <t>(M/h, Tonnage, Spend etc)</t>
    </r>
  </si>
  <si>
    <r>
      <t xml:space="preserve">PERSONNEL
</t>
    </r>
    <r>
      <rPr>
        <i/>
        <sz val="12"/>
        <color theme="1"/>
        <rFont val="Futura Bk BT"/>
      </rPr>
      <t>(Headcount)</t>
    </r>
  </si>
  <si>
    <r>
      <t xml:space="preserve">PROJECT/CONTRACT COST </t>
    </r>
    <r>
      <rPr>
        <b/>
        <sz val="12"/>
        <color rgb="FFFF0000"/>
        <rFont val="Futura Bk BT"/>
      </rPr>
      <t>(PLAN)</t>
    </r>
  </si>
  <si>
    <t>OTHERS (e.g HCD Training, CDI etc)</t>
  </si>
  <si>
    <t>Others (HCD Training, CDI etc)</t>
  </si>
  <si>
    <t>Others (e.g HCD Training, CDI etc)</t>
  </si>
  <si>
    <t>TOTAL CONTRACT NC VALUE</t>
  </si>
  <si>
    <r>
      <rPr>
        <b/>
        <sz val="12"/>
        <color theme="1"/>
        <rFont val="Futura Bk BT"/>
        <family val="2"/>
      </rPr>
      <t>Company:</t>
    </r>
    <r>
      <rPr>
        <sz val="12"/>
        <color theme="1"/>
        <rFont val="Futura Bk BT"/>
        <family val="2"/>
      </rPr>
      <t xml:space="preserve"> 
</t>
    </r>
    <r>
      <rPr>
        <b/>
        <sz val="12"/>
        <color theme="1"/>
        <rFont val="Futura Bk BT"/>
        <family val="2"/>
      </rPr>
      <t>Rep Name:</t>
    </r>
    <r>
      <rPr>
        <sz val="12"/>
        <color theme="1"/>
        <rFont val="Futura Bk BT"/>
        <family val="2"/>
      </rPr>
      <t xml:space="preserve">
</t>
    </r>
    <r>
      <rPr>
        <b/>
        <sz val="12"/>
        <color theme="1"/>
        <rFont val="Futura Bk BT"/>
        <family val="2"/>
      </rPr>
      <t>Phone:</t>
    </r>
    <r>
      <rPr>
        <sz val="12"/>
        <color theme="1"/>
        <rFont val="Futura Bk BT"/>
        <family val="2"/>
      </rPr>
      <t xml:space="preserve"> 
</t>
    </r>
    <r>
      <rPr>
        <b/>
        <sz val="12"/>
        <color theme="1"/>
        <rFont val="Futura Bk BT"/>
        <family val="2"/>
      </rPr>
      <t>Email:</t>
    </r>
  </si>
  <si>
    <r>
      <rPr>
        <b/>
        <sz val="12"/>
        <color theme="1"/>
        <rFont val="Futura Bk BT"/>
        <family val="2"/>
      </rPr>
      <t>Company:</t>
    </r>
    <r>
      <rPr>
        <sz val="12"/>
        <color theme="1"/>
        <rFont val="Futura Bk BT"/>
        <family val="2"/>
      </rPr>
      <t xml:space="preserve"> 
</t>
    </r>
    <r>
      <rPr>
        <b/>
        <sz val="12"/>
        <color theme="1"/>
        <rFont val="Futura Bk BT"/>
        <family val="2"/>
      </rPr>
      <t>Rep Name:</t>
    </r>
    <r>
      <rPr>
        <sz val="12"/>
        <color theme="1"/>
        <rFont val="Futura Bk BT"/>
        <family val="2"/>
      </rPr>
      <t xml:space="preserve"> 
</t>
    </r>
    <r>
      <rPr>
        <b/>
        <sz val="12"/>
        <color theme="1"/>
        <rFont val="Futura Bk BT"/>
        <family val="2"/>
      </rPr>
      <t>Phone:</t>
    </r>
    <r>
      <rPr>
        <sz val="12"/>
        <color theme="1"/>
        <rFont val="Futura Bk BT"/>
        <family val="2"/>
      </rPr>
      <t xml:space="preserve"> 
</t>
    </r>
    <r>
      <rPr>
        <b/>
        <sz val="12"/>
        <color theme="1"/>
        <rFont val="Futura Bk BT"/>
        <family val="2"/>
      </rPr>
      <t>Email:</t>
    </r>
  </si>
  <si>
    <r>
      <rPr>
        <b/>
        <sz val="12"/>
        <color theme="1"/>
        <rFont val="Futura Bk BT"/>
        <family val="2"/>
      </rPr>
      <t>Company:</t>
    </r>
    <r>
      <rPr>
        <sz val="12"/>
        <color theme="1"/>
        <rFont val="Futura Bk BT"/>
        <family val="2"/>
      </rPr>
      <t xml:space="preserve">
</t>
    </r>
    <r>
      <rPr>
        <b/>
        <sz val="12"/>
        <color theme="1"/>
        <rFont val="Futura Bk BT"/>
        <family val="2"/>
      </rPr>
      <t>Rep Name:</t>
    </r>
    <r>
      <rPr>
        <sz val="12"/>
        <color theme="1"/>
        <rFont val="Futura Bk BT"/>
        <family val="2"/>
      </rPr>
      <t xml:space="preserve">
</t>
    </r>
    <r>
      <rPr>
        <b/>
        <sz val="12"/>
        <color theme="1"/>
        <rFont val="Futura Bk BT"/>
        <family val="2"/>
      </rPr>
      <t>Phone:</t>
    </r>
    <r>
      <rPr>
        <sz val="12"/>
        <color theme="1"/>
        <rFont val="Futura Bk BT"/>
        <family val="2"/>
      </rPr>
      <t xml:space="preserve"> 
</t>
    </r>
    <r>
      <rPr>
        <b/>
        <sz val="12"/>
        <color theme="1"/>
        <rFont val="Futura Bk BT"/>
        <family val="2"/>
      </rPr>
      <t>Email:</t>
    </r>
    <r>
      <rPr>
        <sz val="12"/>
        <color theme="1"/>
        <rFont val="Futura Bk BT"/>
        <family val="2"/>
      </rPr>
      <t xml:space="preserve"> </t>
    </r>
  </si>
  <si>
    <r>
      <rPr>
        <b/>
        <sz val="12"/>
        <color theme="1"/>
        <rFont val="Futura Bk BT"/>
        <family val="2"/>
      </rPr>
      <t>Company:</t>
    </r>
    <r>
      <rPr>
        <sz val="12"/>
        <color theme="1"/>
        <rFont val="Futura Bk BT"/>
        <family val="2"/>
      </rPr>
      <t xml:space="preserve"> 
</t>
    </r>
    <r>
      <rPr>
        <b/>
        <sz val="12"/>
        <color theme="1"/>
        <rFont val="Futura Bk BT"/>
        <family val="2"/>
      </rPr>
      <t>Rep Name:</t>
    </r>
    <r>
      <rPr>
        <sz val="12"/>
        <color theme="1"/>
        <rFont val="Futura Bk BT"/>
        <family val="2"/>
      </rPr>
      <t xml:space="preserve"> 
</t>
    </r>
    <r>
      <rPr>
        <b/>
        <sz val="12"/>
        <color theme="1"/>
        <rFont val="Futura Bk BT"/>
        <family val="2"/>
      </rPr>
      <t>Phone:</t>
    </r>
    <r>
      <rPr>
        <sz val="12"/>
        <color theme="1"/>
        <rFont val="Futura Bk BT"/>
        <family val="2"/>
      </rPr>
      <t xml:space="preserve">
</t>
    </r>
    <r>
      <rPr>
        <b/>
        <sz val="12"/>
        <color theme="1"/>
        <rFont val="Futura Bk BT"/>
        <family val="2"/>
      </rPr>
      <t>Email:</t>
    </r>
  </si>
  <si>
    <r>
      <rPr>
        <b/>
        <sz val="12"/>
        <color theme="1"/>
        <rFont val="Futura Bk BT"/>
        <family val="2"/>
      </rPr>
      <t>Company:</t>
    </r>
    <r>
      <rPr>
        <sz val="12"/>
        <color theme="1"/>
        <rFont val="Futura Bk BT"/>
        <family val="2"/>
      </rPr>
      <t xml:space="preserve"> 
</t>
    </r>
    <r>
      <rPr>
        <b/>
        <sz val="12"/>
        <color theme="1"/>
        <rFont val="Futura Bk BT"/>
        <family val="2"/>
      </rPr>
      <t>Rep Name:</t>
    </r>
    <r>
      <rPr>
        <sz val="12"/>
        <color theme="1"/>
        <rFont val="Futura Bk BT"/>
        <family val="2"/>
      </rPr>
      <t xml:space="preserve">
</t>
    </r>
    <r>
      <rPr>
        <b/>
        <sz val="12"/>
        <color theme="1"/>
        <rFont val="Futura Bk BT"/>
        <family val="2"/>
      </rPr>
      <t>Phone:</t>
    </r>
    <r>
      <rPr>
        <sz val="12"/>
        <color theme="1"/>
        <rFont val="Futura Bk BT"/>
        <family val="2"/>
      </rPr>
      <t xml:space="preserve"> 
</t>
    </r>
    <r>
      <rPr>
        <b/>
        <sz val="12"/>
        <color theme="1"/>
        <rFont val="Futura Bk BT"/>
        <family val="2"/>
      </rPr>
      <t>Email:</t>
    </r>
    <r>
      <rPr>
        <sz val="12"/>
        <color theme="1"/>
        <rFont val="Futura Bk BT"/>
        <family val="2"/>
      </rPr>
      <t xml:space="preserve"> </t>
    </r>
  </si>
  <si>
    <r>
      <rPr>
        <b/>
        <sz val="12"/>
        <color theme="1"/>
        <rFont val="Futura Bk BT"/>
        <family val="2"/>
      </rPr>
      <t>Company:</t>
    </r>
    <r>
      <rPr>
        <sz val="12"/>
        <color theme="1"/>
        <rFont val="Futura Bk BT"/>
        <family val="2"/>
      </rPr>
      <t xml:space="preserve"> 
</t>
    </r>
    <r>
      <rPr>
        <b/>
        <sz val="12"/>
        <color theme="1"/>
        <rFont val="Futura Bk BT"/>
        <family val="2"/>
      </rPr>
      <t>Rep Name:</t>
    </r>
    <r>
      <rPr>
        <sz val="12"/>
        <color theme="1"/>
        <rFont val="Futura Bk BT"/>
        <family val="2"/>
      </rPr>
      <t xml:space="preserve"> 
</t>
    </r>
    <r>
      <rPr>
        <b/>
        <sz val="12"/>
        <color theme="1"/>
        <rFont val="Futura Bk BT"/>
        <family val="2"/>
      </rPr>
      <t>Phone:</t>
    </r>
    <r>
      <rPr>
        <sz val="12"/>
        <color theme="1"/>
        <rFont val="Futura Bk BT"/>
        <family val="2"/>
      </rPr>
      <t xml:space="preserve"> 
</t>
    </r>
    <r>
      <rPr>
        <b/>
        <sz val="12"/>
        <color theme="1"/>
        <rFont val="Futura Bk BT"/>
        <family val="2"/>
      </rPr>
      <t>Email:</t>
    </r>
    <r>
      <rPr>
        <sz val="12"/>
        <color theme="1"/>
        <rFont val="Futura Bk BT"/>
        <family val="2"/>
      </rPr>
      <t xml:space="preserve"> </t>
    </r>
  </si>
  <si>
    <r>
      <rPr>
        <b/>
        <sz val="12"/>
        <color theme="1"/>
        <rFont val="Futura Bk BT"/>
        <family val="2"/>
      </rPr>
      <t>Company:</t>
    </r>
    <r>
      <rPr>
        <sz val="12"/>
        <color theme="1"/>
        <rFont val="Futura Bk BT"/>
        <family val="2"/>
      </rPr>
      <t xml:space="preserve"> 
R</t>
    </r>
    <r>
      <rPr>
        <b/>
        <sz val="12"/>
        <color theme="1"/>
        <rFont val="Futura Bk BT"/>
        <family val="2"/>
      </rPr>
      <t>ep Name:</t>
    </r>
    <r>
      <rPr>
        <sz val="12"/>
        <color theme="1"/>
        <rFont val="Futura Bk BT"/>
        <family val="2"/>
      </rPr>
      <t xml:space="preserve"> 
</t>
    </r>
    <r>
      <rPr>
        <b/>
        <sz val="12"/>
        <color theme="1"/>
        <rFont val="Futura Bk BT"/>
        <family val="2"/>
      </rPr>
      <t>Phone:</t>
    </r>
    <r>
      <rPr>
        <sz val="12"/>
        <color theme="1"/>
        <rFont val="Futura Bk BT"/>
        <family val="2"/>
      </rPr>
      <t xml:space="preserve"> 
</t>
    </r>
    <r>
      <rPr>
        <b/>
        <sz val="12"/>
        <color theme="1"/>
        <rFont val="Futura Bk BT"/>
        <family val="2"/>
      </rPr>
      <t>Email:</t>
    </r>
    <r>
      <rPr>
        <sz val="12"/>
        <color theme="1"/>
        <rFont val="Futura Bk BT"/>
        <family val="2"/>
      </rPr>
      <t xml:space="preserve"> </t>
    </r>
  </si>
  <si>
    <t xml:space="preserve">INSTRUCTION PAGE
</t>
  </si>
  <si>
    <t xml:space="preserve">*ALL THE FIELDS ON THIS TITLE BLOCK ARE MANDATORY* </t>
  </si>
  <si>
    <t xml:space="preserve">*ALL THE FIELDS ON THIS TITLE BLOCK ARE MANDATORY, POPULATE THIS INSTRUCTION PAGE SHEET TITLE BLOCK AND OTHER SHEETS' TITLE BLOCK WILL POPULATE AUTOMATICALLY* </t>
  </si>
  <si>
    <t>TABLE OF CONTENT/SUMMARY OF PROJECT ACTIVITIES
(Q1-Q4 -2024 - SUMMARY)</t>
  </si>
  <si>
    <t>*DO NOT POPULATE THIS INSTRUCTION  SHEET*</t>
  </si>
  <si>
    <t>*ACTIVITY: MEANS: ANY PROJECT, CONTRACT, OPERATIONS OR SERVICE IN AN OFFSHORE OR ONSHORE AREA CARRIED OUT UNDER THE PETROLEUM INDUSTRY ACT; AND ANY ACTIVITY RELATING TO PETROLEUM EXPLORATION, DEVELOPMENT OR SERVICING*</t>
  </si>
  <si>
    <t>CHART
(Q1-Q4 -2024 )</t>
  </si>
  <si>
    <t xml:space="preserve">Provide the Nigerian Oil and Gas Industry Content Joint Qualification System (NOGIC JQS) number for the company that executed the activity </t>
  </si>
  <si>
    <t>Provide the Nigerian Content Equipment Certificate (NCEC) Number for the company that executed the activity</t>
  </si>
  <si>
    <t>Provide the Foreign scope details for the activity executed to date</t>
  </si>
  <si>
    <t>Provide the Nigeria scope details for the activity executed to date</t>
  </si>
  <si>
    <t>Provide the scope details  for the activity executed to date</t>
  </si>
  <si>
    <t>Provide the sub activities/description for the activity in line with the schedule to the NOGICD Act</t>
  </si>
  <si>
    <r>
      <t xml:space="preserve">PERSONNEL 
</t>
    </r>
    <r>
      <rPr>
        <i/>
        <sz val="14"/>
        <color rgb="FFFF0000"/>
        <rFont val="Futura Bk BT"/>
      </rPr>
      <t>(Provide headcount for the personnel deployed to date, at each time provide the peak personnel deployed to date)</t>
    </r>
  </si>
  <si>
    <r>
      <t xml:space="preserve">QUANTITY
</t>
    </r>
    <r>
      <rPr>
        <i/>
        <sz val="14"/>
        <color rgb="FFFF0000"/>
        <rFont val="Futura Bk BT"/>
      </rPr>
      <t>(Provide the quantity in line with specified unit of measurement for the respective activity - manhour, Tonnage, Number etc, provide the quantity from project inception to date)</t>
    </r>
  </si>
  <si>
    <r>
      <t xml:space="preserve">WORK PROGRESS (WP) STATUS REPORT </t>
    </r>
    <r>
      <rPr>
        <sz val="14"/>
        <color rgb="FFFF0000"/>
        <rFont val="Futura Bk BT"/>
      </rPr>
      <t>(Provide work progress for Nigeria and Foreign spend to date for the relative activity)</t>
    </r>
  </si>
  <si>
    <r>
      <t xml:space="preserve">PROJECT COST/ VALUE </t>
    </r>
    <r>
      <rPr>
        <sz val="14"/>
        <color rgb="FFFF0000"/>
        <rFont val="Futura Bk BT"/>
      </rPr>
      <t>(PLAN - Provide planned cost/value for Nigeria and Foreign for the relative activity)</t>
    </r>
  </si>
  <si>
    <t xml:space="preserve">Provide subcontractor/vendor details in the format below:
Company: 
Rep Name: 
Phone: 
Email: </t>
  </si>
  <si>
    <t xml:space="preserve">*This Sheet contains Schedule A of the NOGICD Act, 2010. Please access the respective sheets by clicking on the provided hyperlinks* Only applicable main activity sheet should be populated in line with the work breakdown structure and /or scope of work for the activity </t>
  </si>
  <si>
    <r>
      <t xml:space="preserve">QUANTITY
</t>
    </r>
    <r>
      <rPr>
        <i/>
        <sz val="14"/>
        <color theme="1"/>
        <rFont val="Futura Bk BT"/>
      </rPr>
      <t>(Tonnage, Litres, Length Number )</t>
    </r>
  </si>
  <si>
    <r>
      <t xml:space="preserve">SUB ACTIVITIES / DESCRIPTION 
</t>
    </r>
    <r>
      <rPr>
        <b/>
        <sz val="14"/>
        <color rgb="FFFF0000"/>
        <rFont val="Futura Bk BT"/>
      </rPr>
      <t>(Add more rows on top of the sub total if applicable)</t>
    </r>
  </si>
  <si>
    <t xml:space="preserve">INSTRUCTION PAGE 
The purpose of the Nigerian Content Activity Report is to help obtain necessary information relating to the ongoing activities in the Nigerian Oil and Gas Indsutry, the main and critical activities are as contained in the schedule to the NOGICD Act, 2010. 
Please note that all the sheets from #1- #18 are the same headers and you are not required to tamper/adjust the TOTAL and NC% columns
Only applicable main activity sheet should be populated in line with the work breakdown structure and /or scope of work for the activity 
Below you will find a description of the steps required for filling the template.
We appreciate your Cooperation.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</si>
</sst>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409]* #,##0_ ;_-[$$-409]* \-#,##0\ ;_-[$$-409]* &quot;-&quot;??_ ;_-@_ "/>
    <numFmt numFmtId="165" formatCode="[$]d\ mmm\ yyyy;@" x16r2:formatCode16="[$-en-NG,1]d\ mmm\ yyyy;@"/>
    <numFmt numFmtId="166" formatCode="_-[$$-409]* #,##0.00_ ;_-[$$-409]* \-#,##0.00\ ;_-[$$-409]* &quot;-&quot;??_ ;_-@_ "/>
    <numFmt numFmtId="167" formatCode="#,##0_ ;\-#,##0\ "/>
    <numFmt numFmtId="168" formatCode="_-[$$-409]* #,##0_ ;_-[$$-409]* \-#,##0\ ;_-[$$-409]* &quot;-&quot;_ ;_-@_ "/>
  </numFmts>
  <fonts count="57">
    <font>
      <sz val="11"/>
      <color theme="1"/>
      <name val="Calibri"/>
      <family val="2"/>
      <scheme val="minor"/>
    </font>
    <font>
      <sz val="11"/>
      <color theme="1"/>
      <name val="Calibri"/>
      <family val="2"/>
      <scheme val="minor"/>
    </font>
    <font>
      <sz val="10"/>
      <name val="Arial"/>
      <family val="2"/>
    </font>
    <font>
      <sz val="14"/>
      <color theme="1"/>
      <name val="Futura Bk BT"/>
      <family val="2"/>
    </font>
    <font>
      <sz val="12"/>
      <color theme="1"/>
      <name val="Futura Bk BT"/>
      <family val="2"/>
    </font>
    <font>
      <b/>
      <sz val="12"/>
      <color rgb="FFFF0000"/>
      <name val="Futura Bk BT"/>
      <family val="2"/>
    </font>
    <font>
      <b/>
      <sz val="28"/>
      <color theme="1"/>
      <name val="Futura Bk BT"/>
      <family val="2"/>
    </font>
    <font>
      <b/>
      <sz val="12"/>
      <color theme="1"/>
      <name val="Futura Bk BT"/>
      <family val="2"/>
    </font>
    <font>
      <sz val="11"/>
      <color theme="1"/>
      <name val="Futura Bk BT"/>
      <family val="2"/>
    </font>
    <font>
      <sz val="11"/>
      <color rgb="FFFF0000"/>
      <name val="Futura Bk BT"/>
      <family val="2"/>
    </font>
    <font>
      <b/>
      <sz val="24"/>
      <color theme="1"/>
      <name val="Futura Bk BT"/>
      <family val="2"/>
    </font>
    <font>
      <b/>
      <sz val="14"/>
      <color theme="1"/>
      <name val="Futura Bk BT"/>
      <family val="2"/>
    </font>
    <font>
      <b/>
      <sz val="20"/>
      <color theme="1"/>
      <name val="Futura Bk BT"/>
      <family val="2"/>
    </font>
    <font>
      <sz val="11"/>
      <name val="Futura Bk BT"/>
      <family val="2"/>
    </font>
    <font>
      <b/>
      <sz val="26"/>
      <color theme="1"/>
      <name val="Futura Bk BT"/>
      <family val="2"/>
    </font>
    <font>
      <b/>
      <sz val="16"/>
      <color rgb="FFFF0000"/>
      <name val="Futura Bk BT"/>
      <family val="2"/>
    </font>
    <font>
      <sz val="16"/>
      <color theme="1"/>
      <name val="Futura Bk BT"/>
      <family val="2"/>
    </font>
    <font>
      <sz val="16"/>
      <name val="Futura Bk BT"/>
      <family val="2"/>
    </font>
    <font>
      <u/>
      <sz val="11"/>
      <color theme="10"/>
      <name val="Calibri"/>
      <family val="2"/>
    </font>
    <font>
      <u/>
      <sz val="11"/>
      <color theme="10"/>
      <name val="Futura Bk BT"/>
      <family val="2"/>
    </font>
    <font>
      <u/>
      <sz val="12"/>
      <color theme="10"/>
      <name val="Futura Bk BT"/>
      <family val="2"/>
    </font>
    <font>
      <sz val="8"/>
      <name val="Calibri"/>
      <family val="2"/>
      <scheme val="minor"/>
    </font>
    <font>
      <b/>
      <sz val="18"/>
      <color theme="1"/>
      <name val="Futura Bk BT"/>
    </font>
    <font>
      <b/>
      <sz val="14"/>
      <color rgb="FF00B050"/>
      <name val="Futura Bk BT"/>
      <family val="2"/>
    </font>
    <font>
      <b/>
      <i/>
      <sz val="14"/>
      <color theme="1"/>
      <name val="Futura Bk BT"/>
    </font>
    <font>
      <sz val="22"/>
      <color theme="1"/>
      <name val="Futura Bk BT"/>
      <family val="2"/>
    </font>
    <font>
      <i/>
      <sz val="14"/>
      <color theme="1"/>
      <name val="Futura Bk BT"/>
    </font>
    <font>
      <b/>
      <i/>
      <sz val="11"/>
      <color rgb="FFFF0000"/>
      <name val="Calibri"/>
      <family val="2"/>
      <scheme val="minor"/>
    </font>
    <font>
      <i/>
      <sz val="12"/>
      <color theme="1"/>
      <name val="Futura Bk BT"/>
    </font>
    <font>
      <b/>
      <sz val="14"/>
      <name val="Futura Bk BT"/>
    </font>
    <font>
      <sz val="11"/>
      <name val="Futura Bk BT"/>
    </font>
    <font>
      <sz val="12"/>
      <color rgb="FFFF0000"/>
      <name val="Futura Bk BT"/>
      <family val="2"/>
    </font>
    <font>
      <b/>
      <sz val="14"/>
      <color theme="1"/>
      <name val="Futura Bk BT"/>
    </font>
    <font>
      <b/>
      <sz val="12"/>
      <color rgb="FFFF0000"/>
      <name val="Futura Bk BT"/>
    </font>
    <font>
      <i/>
      <sz val="14"/>
      <name val="Futura Bk BT"/>
    </font>
    <font>
      <b/>
      <sz val="12"/>
      <color theme="1"/>
      <name val="Futura Bk BT"/>
    </font>
    <font>
      <sz val="12"/>
      <name val="Futura Bk BT"/>
      <family val="2"/>
    </font>
    <font>
      <sz val="12"/>
      <color theme="9"/>
      <name val="Futura Bk BT"/>
    </font>
    <font>
      <sz val="12"/>
      <color rgb="FF92D050"/>
      <name val="Futura Bk BT"/>
    </font>
    <font>
      <b/>
      <sz val="11"/>
      <color rgb="FF92D050"/>
      <name val="Futura Bk BT"/>
    </font>
    <font>
      <b/>
      <sz val="12"/>
      <color rgb="FF92D050"/>
      <name val="Futura Bk BT"/>
    </font>
    <font>
      <sz val="12"/>
      <color theme="9"/>
      <name val="Futura Bk BT"/>
      <family val="2"/>
    </font>
    <font>
      <b/>
      <sz val="12"/>
      <color rgb="FF00B050"/>
      <name val="Futura Bk BT"/>
    </font>
    <font>
      <b/>
      <sz val="16"/>
      <color rgb="FF00B050"/>
      <name val="Futura Bk BT"/>
    </font>
    <font>
      <b/>
      <sz val="11"/>
      <color rgb="FF00B050"/>
      <name val="Futura Bk BT"/>
    </font>
    <font>
      <sz val="11"/>
      <color rgb="FF00B050"/>
      <name val="Futura Bk BT"/>
    </font>
    <font>
      <sz val="12"/>
      <color rgb="FF00B050"/>
      <name val="Futura Bk BT"/>
    </font>
    <font>
      <b/>
      <sz val="18"/>
      <color rgb="FFFF0000"/>
      <name val="Futura Bk BT"/>
    </font>
    <font>
      <b/>
      <sz val="18"/>
      <name val="Futura Bk BT"/>
    </font>
    <font>
      <b/>
      <sz val="12"/>
      <name val="Futura Bk BT"/>
    </font>
    <font>
      <b/>
      <i/>
      <sz val="9"/>
      <color rgb="FFFF0000"/>
      <name val="Futura Bk BT"/>
    </font>
    <font>
      <b/>
      <sz val="14"/>
      <color rgb="FFFF0000"/>
      <name val="Futura Bk BT"/>
    </font>
    <font>
      <i/>
      <sz val="14"/>
      <color rgb="FFFF0000"/>
      <name val="Futura Bk BT"/>
    </font>
    <font>
      <sz val="14"/>
      <color rgb="FFFF0000"/>
      <name val="Futura Bk BT"/>
    </font>
    <font>
      <b/>
      <sz val="26"/>
      <name val="Futura Bk BT"/>
    </font>
    <font>
      <b/>
      <sz val="12"/>
      <color rgb="FFFF0000"/>
      <name val="Calibri"/>
      <family val="2"/>
      <scheme val="minor"/>
    </font>
    <font>
      <b/>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theme="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double">
        <color theme="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44" fontId="1" fillId="0" borderId="0" applyFont="0" applyFill="0" applyBorder="0" applyAlignment="0" applyProtection="0"/>
    <xf numFmtId="0" fontId="18" fillId="0" borderId="0" applyNumberFormat="0" applyFill="0" applyBorder="0" applyAlignment="0" applyProtection="0">
      <alignment vertical="top"/>
      <protection locked="0"/>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cellStyleXfs>
  <cellXfs count="326">
    <xf numFmtId="0" fontId="0" fillId="0" borderId="0" xfId="0"/>
    <xf numFmtId="0" fontId="4" fillId="0" borderId="0" xfId="0" applyFont="1" applyAlignment="1">
      <alignment horizontal="center" vertical="center" wrapText="1"/>
    </xf>
    <xf numFmtId="0" fontId="4" fillId="0" borderId="0" xfId="0" applyFont="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9" fillId="0" borderId="1" xfId="4" applyFont="1" applyBorder="1" applyAlignment="1" applyProtection="1">
      <alignment horizontal="left" vertical="center" wrapText="1"/>
    </xf>
    <xf numFmtId="0" fontId="27" fillId="0" borderId="0" xfId="0" applyFont="1" applyProtection="1">
      <protection locked="0"/>
    </xf>
    <xf numFmtId="0" fontId="4" fillId="0" borderId="2" xfId="0" applyFont="1" applyBorder="1" applyAlignment="1" applyProtection="1">
      <alignment horizontal="center" vertical="center" wrapText="1"/>
      <protection locked="0"/>
    </xf>
    <xf numFmtId="0" fontId="0" fillId="0" borderId="1" xfId="0" applyBorder="1" applyAlignment="1" applyProtection="1">
      <alignment wrapText="1"/>
      <protection locked="0"/>
    </xf>
    <xf numFmtId="9" fontId="5" fillId="0" borderId="1" xfId="1" applyFont="1" applyBorder="1" applyAlignment="1" applyProtection="1">
      <alignment horizontal="center" vertical="center" wrapText="1"/>
      <protection locked="0"/>
    </xf>
    <xf numFmtId="0" fontId="8" fillId="0" borderId="20" xfId="0" applyFont="1" applyBorder="1" applyAlignment="1" applyProtection="1">
      <alignment horizontal="left" vertical="center" wrapText="1"/>
      <protection locked="0"/>
    </xf>
    <xf numFmtId="0" fontId="4" fillId="0" borderId="35"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4" fillId="0" borderId="2" xfId="0" quotePrefix="1" applyFont="1" applyBorder="1" applyAlignment="1" applyProtection="1">
      <alignment horizontal="center" vertical="center" wrapText="1"/>
      <protection locked="0"/>
    </xf>
    <xf numFmtId="0" fontId="4" fillId="0" borderId="35" xfId="0" applyFont="1" applyBorder="1" applyAlignment="1" applyProtection="1">
      <alignment horizontal="left" vertical="center" wrapText="1"/>
      <protection locked="0"/>
    </xf>
    <xf numFmtId="0" fontId="0" fillId="0" borderId="10" xfId="0" applyBorder="1" applyAlignment="1" applyProtection="1">
      <alignment wrapText="1"/>
      <protection locked="0"/>
    </xf>
    <xf numFmtId="9" fontId="44" fillId="0" borderId="1" xfId="1" applyFont="1" applyBorder="1" applyAlignment="1" applyProtection="1">
      <alignment horizontal="center" vertical="center" wrapText="1"/>
      <protection locked="0"/>
    </xf>
    <xf numFmtId="9" fontId="42" fillId="0" borderId="1" xfId="1" applyFont="1" applyBorder="1" applyAlignment="1" applyProtection="1">
      <alignment horizontal="center" vertical="center" wrapText="1"/>
      <protection locked="0"/>
    </xf>
    <xf numFmtId="9" fontId="46" fillId="0" borderId="1" xfId="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2" borderId="31" xfId="0" applyFont="1" applyFill="1" applyBorder="1" applyAlignment="1">
      <alignment horizontal="center" vertical="center" wrapText="1"/>
    </xf>
    <xf numFmtId="0" fontId="0" fillId="0" borderId="0" xfId="0" applyAlignment="1" applyProtection="1">
      <alignment wrapText="1"/>
      <protection locked="0"/>
    </xf>
    <xf numFmtId="0" fontId="35" fillId="0" borderId="53" xfId="0" applyFont="1" applyBorder="1" applyAlignment="1" applyProtection="1">
      <alignment horizontal="left" vertical="center"/>
      <protection locked="0"/>
    </xf>
    <xf numFmtId="0" fontId="35" fillId="0" borderId="54" xfId="0" applyFont="1" applyBorder="1" applyAlignment="1" applyProtection="1">
      <alignment horizontal="left" vertical="center"/>
      <protection locked="0"/>
    </xf>
    <xf numFmtId="0" fontId="35" fillId="0" borderId="0" xfId="0" applyFont="1" applyAlignment="1" applyProtection="1">
      <alignment horizontal="left" vertical="center"/>
      <protection locked="0"/>
    </xf>
    <xf numFmtId="0" fontId="35" fillId="0" borderId="57" xfId="0" applyFont="1" applyBorder="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11" fillId="3" borderId="38" xfId="0"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wrapText="1"/>
      <protection locked="0"/>
    </xf>
    <xf numFmtId="0" fontId="11" fillId="3" borderId="43"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3" fontId="9" fillId="0" borderId="1"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wrapText="1"/>
      <protection locked="0"/>
    </xf>
    <xf numFmtId="3" fontId="31" fillId="0" borderId="1" xfId="0" applyNumberFormat="1" applyFont="1" applyBorder="1" applyAlignment="1" applyProtection="1">
      <alignment horizontal="center" vertical="center" wrapText="1"/>
      <protection locked="0"/>
    </xf>
    <xf numFmtId="3" fontId="30" fillId="0" borderId="1" xfId="0" applyNumberFormat="1" applyFont="1" applyBorder="1" applyAlignment="1" applyProtection="1">
      <alignment horizontal="center" vertical="center" wrapText="1"/>
      <protection locked="0"/>
    </xf>
    <xf numFmtId="0" fontId="4" fillId="0" borderId="20" xfId="0" applyFont="1" applyBorder="1" applyAlignment="1" applyProtection="1">
      <alignment horizontal="left" vertical="center" wrapText="1"/>
      <protection locked="0"/>
    </xf>
    <xf numFmtId="0" fontId="4" fillId="0" borderId="1" xfId="0" applyFont="1" applyBorder="1" applyAlignment="1" applyProtection="1">
      <alignment wrapText="1"/>
      <protection locked="0"/>
    </xf>
    <xf numFmtId="9" fontId="5" fillId="0" borderId="1" xfId="1" applyFont="1" applyBorder="1" applyAlignment="1" applyProtection="1">
      <alignment horizontal="left" vertical="center" wrapText="1"/>
      <protection locked="0"/>
    </xf>
    <xf numFmtId="0" fontId="41"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33" fillId="0" borderId="0" xfId="0" applyFont="1" applyAlignment="1" applyProtection="1">
      <alignment horizontal="left" vertical="center" wrapText="1"/>
      <protection locked="0"/>
    </xf>
    <xf numFmtId="9" fontId="5" fillId="2" borderId="42" xfId="1" applyFont="1" applyFill="1" applyBorder="1" applyAlignment="1" applyProtection="1">
      <alignment horizontal="left" vertical="top" wrapText="1"/>
    </xf>
    <xf numFmtId="9" fontId="5" fillId="2" borderId="24" xfId="1" applyFont="1" applyFill="1" applyBorder="1" applyAlignment="1" applyProtection="1">
      <alignment horizontal="left" vertical="top" wrapText="1"/>
    </xf>
    <xf numFmtId="9" fontId="5" fillId="2" borderId="22" xfId="1" applyFont="1" applyFill="1" applyBorder="1" applyAlignment="1" applyProtection="1">
      <alignment horizontal="left" vertical="top" wrapText="1"/>
    </xf>
    <xf numFmtId="9" fontId="47" fillId="2" borderId="32" xfId="1" applyFont="1" applyFill="1" applyBorder="1" applyAlignment="1" applyProtection="1">
      <alignment horizontal="left" vertical="top" wrapText="1"/>
    </xf>
    <xf numFmtId="9" fontId="47" fillId="2" borderId="34" xfId="1" applyFont="1" applyFill="1" applyBorder="1" applyAlignment="1" applyProtection="1">
      <alignment horizontal="left" vertical="top" wrapText="1"/>
    </xf>
    <xf numFmtId="9" fontId="43" fillId="2" borderId="29" xfId="1" applyFont="1" applyFill="1" applyBorder="1" applyAlignment="1" applyProtection="1">
      <alignment horizontal="center" vertical="center" wrapText="1"/>
    </xf>
    <xf numFmtId="9" fontId="43" fillId="2" borderId="58" xfId="1" applyFont="1" applyFill="1" applyBorder="1" applyAlignment="1" applyProtection="1">
      <alignment horizontal="center" vertical="center" wrapText="1"/>
    </xf>
    <xf numFmtId="9" fontId="15" fillId="2" borderId="24" xfId="1" applyFont="1" applyFill="1" applyBorder="1" applyAlignment="1" applyProtection="1">
      <alignment horizontal="center" vertical="center" wrapText="1"/>
    </xf>
    <xf numFmtId="9" fontId="42" fillId="0" borderId="13" xfId="1" applyFont="1" applyBorder="1" applyAlignment="1" applyProtection="1">
      <alignment horizontal="center" vertical="center" wrapText="1"/>
    </xf>
    <xf numFmtId="9" fontId="42" fillId="0" borderId="36" xfId="1" applyFont="1" applyBorder="1" applyAlignment="1" applyProtection="1">
      <alignment horizontal="center" vertical="center" wrapText="1"/>
    </xf>
    <xf numFmtId="164" fontId="9" fillId="0" borderId="27" xfId="5" applyNumberFormat="1" applyFont="1" applyBorder="1" applyAlignment="1" applyProtection="1">
      <alignment horizontal="center" vertical="center"/>
    </xf>
    <xf numFmtId="9" fontId="5" fillId="0" borderId="40" xfId="1" applyFont="1" applyBorder="1" applyAlignment="1" applyProtection="1">
      <alignment horizontal="center" vertical="center" wrapText="1"/>
    </xf>
    <xf numFmtId="9" fontId="42" fillId="0" borderId="1" xfId="1" applyFont="1" applyBorder="1" applyAlignment="1" applyProtection="1">
      <alignment horizontal="center" vertical="center" wrapText="1"/>
    </xf>
    <xf numFmtId="9" fontId="42" fillId="0" borderId="10" xfId="1" applyFont="1" applyBorder="1" applyAlignment="1" applyProtection="1">
      <alignment horizontal="center" vertical="center" wrapText="1"/>
    </xf>
    <xf numFmtId="9" fontId="5" fillId="0" borderId="20" xfId="1" applyFont="1" applyBorder="1" applyAlignment="1" applyProtection="1">
      <alignment horizontal="center" vertical="center" wrapText="1"/>
    </xf>
    <xf numFmtId="164" fontId="9" fillId="0" borderId="30" xfId="5" applyNumberFormat="1" applyFont="1" applyBorder="1" applyAlignment="1" applyProtection="1">
      <alignment horizontal="center" vertical="center"/>
    </xf>
    <xf numFmtId="166" fontId="4" fillId="0" borderId="56" xfId="5" applyNumberFormat="1" applyFont="1" applyBorder="1" applyAlignment="1" applyProtection="1">
      <alignment horizontal="center" vertical="center" wrapText="1"/>
    </xf>
    <xf numFmtId="9" fontId="4" fillId="0" borderId="13" xfId="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11" fillId="3" borderId="25"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11" fillId="3" borderId="24"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center" vertical="center" wrapText="1"/>
      <protection locked="0"/>
    </xf>
    <xf numFmtId="0" fontId="29" fillId="3" borderId="22" xfId="0" applyFont="1" applyFill="1" applyBorder="1" applyAlignment="1" applyProtection="1">
      <alignment horizontal="center" vertical="center" wrapText="1"/>
      <protection locked="0"/>
    </xf>
    <xf numFmtId="0" fontId="0" fillId="0" borderId="13" xfId="0" applyBorder="1" applyAlignment="1" applyProtection="1">
      <alignment wrapText="1"/>
      <protection locked="0"/>
    </xf>
    <xf numFmtId="0" fontId="0" fillId="0" borderId="36" xfId="0" applyBorder="1" applyAlignment="1" applyProtection="1">
      <alignment wrapText="1"/>
      <protection locked="0"/>
    </xf>
    <xf numFmtId="0" fontId="5" fillId="0" borderId="13" xfId="0" applyFont="1" applyBorder="1" applyAlignment="1" applyProtection="1">
      <alignment horizontal="center" vertical="center" wrapText="1"/>
      <protection locked="0"/>
    </xf>
    <xf numFmtId="9" fontId="44" fillId="0" borderId="13" xfId="1" applyFont="1" applyBorder="1" applyAlignment="1" applyProtection="1">
      <alignment horizontal="center" vertical="center" wrapText="1"/>
      <protection locked="0"/>
    </xf>
    <xf numFmtId="9" fontId="45" fillId="0" borderId="13" xfId="1" applyFont="1" applyBorder="1" applyAlignment="1" applyProtection="1">
      <alignment horizontal="center" vertical="center" wrapText="1"/>
      <protection locked="0"/>
    </xf>
    <xf numFmtId="3" fontId="9" fillId="0" borderId="13" xfId="0" applyNumberFormat="1" applyFont="1" applyBorder="1" applyAlignment="1" applyProtection="1">
      <alignment horizontal="center" vertical="center" wrapText="1"/>
      <protection locked="0"/>
    </xf>
    <xf numFmtId="3" fontId="4" fillId="0" borderId="13" xfId="0" applyNumberFormat="1" applyFont="1" applyBorder="1" applyAlignment="1" applyProtection="1">
      <alignment horizontal="center" vertical="center" wrapText="1"/>
      <protection locked="0"/>
    </xf>
    <xf numFmtId="9" fontId="42" fillId="0" borderId="13" xfId="1" applyFont="1" applyBorder="1" applyAlignment="1" applyProtection="1">
      <alignment horizontal="center" vertical="center" wrapText="1"/>
      <protection locked="0"/>
    </xf>
    <xf numFmtId="3" fontId="31" fillId="0" borderId="13" xfId="0" applyNumberFormat="1" applyFont="1" applyBorder="1" applyAlignment="1" applyProtection="1">
      <alignment horizontal="center" vertical="center" wrapText="1"/>
      <protection locked="0"/>
    </xf>
    <xf numFmtId="3" fontId="30" fillId="0" borderId="13" xfId="0" applyNumberFormat="1" applyFont="1" applyBorder="1" applyAlignment="1" applyProtection="1">
      <alignment horizontal="center" vertical="center" wrapText="1"/>
      <protection locked="0"/>
    </xf>
    <xf numFmtId="9" fontId="46" fillId="0" borderId="13" xfId="1" applyFont="1" applyBorder="1" applyAlignment="1" applyProtection="1">
      <alignment horizontal="center" vertical="center" wrapText="1"/>
      <protection locked="0"/>
    </xf>
    <xf numFmtId="9" fontId="5" fillId="0" borderId="13" xfId="1" applyFont="1" applyBorder="1" applyAlignment="1" applyProtection="1">
      <alignment horizontal="center" vertical="center" wrapText="1"/>
      <protection locked="0"/>
    </xf>
    <xf numFmtId="0" fontId="4" fillId="0" borderId="40" xfId="0" applyFont="1" applyBorder="1" applyAlignment="1" applyProtection="1">
      <alignment horizontal="left" vertical="center" wrapText="1"/>
      <protection locked="0"/>
    </xf>
    <xf numFmtId="0" fontId="4" fillId="0" borderId="10" xfId="0" applyFont="1" applyBorder="1" applyAlignment="1" applyProtection="1">
      <alignment wrapText="1"/>
      <protection locked="0"/>
    </xf>
    <xf numFmtId="9" fontId="45" fillId="0" borderId="1" xfId="1" applyFont="1" applyBorder="1" applyAlignment="1" applyProtection="1">
      <alignment horizontal="center" vertical="center" wrapText="1"/>
      <protection locked="0"/>
    </xf>
    <xf numFmtId="9" fontId="5" fillId="0" borderId="20" xfId="1" applyFont="1" applyBorder="1" applyAlignment="1" applyProtection="1">
      <alignment horizontal="left" vertical="center" wrapText="1"/>
      <protection locked="0"/>
    </xf>
    <xf numFmtId="0" fontId="4" fillId="2" borderId="32" xfId="0" applyFont="1" applyFill="1" applyBorder="1" applyAlignment="1">
      <alignment horizontal="center" vertical="center" wrapText="1"/>
    </xf>
    <xf numFmtId="0" fontId="4" fillId="2" borderId="33" xfId="0" applyFont="1" applyFill="1" applyBorder="1" applyAlignment="1">
      <alignment horizontal="left" vertical="center" wrapText="1"/>
    </xf>
    <xf numFmtId="0" fontId="25" fillId="2" borderId="9"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2" borderId="22" xfId="0" applyFill="1" applyBorder="1" applyAlignment="1">
      <alignment wrapText="1"/>
    </xf>
    <xf numFmtId="0" fontId="0" fillId="2" borderId="23" xfId="0" applyFill="1" applyBorder="1" applyAlignment="1">
      <alignment wrapText="1"/>
    </xf>
    <xf numFmtId="0" fontId="4" fillId="2"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6" fillId="2" borderId="22" xfId="0" applyFont="1" applyFill="1" applyBorder="1" applyAlignment="1">
      <alignment horizontal="center" vertical="center" wrapText="1"/>
    </xf>
    <xf numFmtId="9" fontId="45" fillId="2" borderId="42" xfId="0" applyNumberFormat="1" applyFont="1" applyFill="1" applyBorder="1" applyAlignment="1">
      <alignment horizontal="center" vertical="center" wrapText="1"/>
    </xf>
    <xf numFmtId="3" fontId="9" fillId="2" borderId="25" xfId="0" applyNumberFormat="1" applyFont="1" applyFill="1" applyBorder="1" applyAlignment="1">
      <alignment horizontal="center" vertical="center" wrapText="1"/>
    </xf>
    <xf numFmtId="3" fontId="4" fillId="2" borderId="22" xfId="0" applyNumberFormat="1" applyFont="1" applyFill="1" applyBorder="1" applyAlignment="1">
      <alignment horizontal="center" vertical="center" wrapText="1"/>
    </xf>
    <xf numFmtId="9" fontId="38" fillId="2" borderId="42" xfId="0" applyNumberFormat="1" applyFont="1" applyFill="1" applyBorder="1" applyAlignment="1">
      <alignment horizontal="center" vertical="center" wrapText="1"/>
    </xf>
    <xf numFmtId="3" fontId="31" fillId="2" borderId="25" xfId="0" applyNumberFormat="1" applyFont="1" applyFill="1" applyBorder="1" applyAlignment="1">
      <alignment horizontal="center" vertical="center" wrapText="1"/>
    </xf>
    <xf numFmtId="3" fontId="13" fillId="2" borderId="22" xfId="0" applyNumberFormat="1" applyFont="1" applyFill="1" applyBorder="1" applyAlignment="1">
      <alignment horizontal="center" vertical="center" wrapText="1"/>
    </xf>
    <xf numFmtId="9" fontId="46" fillId="2" borderId="22" xfId="0" applyNumberFormat="1" applyFont="1" applyFill="1" applyBorder="1" applyAlignment="1">
      <alignment horizontal="center" vertical="center" wrapText="1"/>
    </xf>
    <xf numFmtId="9" fontId="31" fillId="2" borderId="22" xfId="0" applyNumberFormat="1" applyFont="1" applyFill="1" applyBorder="1" applyAlignment="1">
      <alignment horizontal="center" vertical="center" wrapText="1"/>
    </xf>
    <xf numFmtId="0" fontId="4" fillId="2" borderId="42" xfId="0" applyFont="1" applyFill="1" applyBorder="1" applyAlignment="1">
      <alignment horizontal="left" vertical="center" wrapText="1"/>
    </xf>
    <xf numFmtId="0" fontId="0" fillId="0" borderId="0" xfId="0" applyAlignment="1">
      <alignment wrapText="1"/>
    </xf>
    <xf numFmtId="9" fontId="44" fillId="2" borderId="42" xfId="0" applyNumberFormat="1" applyFont="1" applyFill="1" applyBorder="1" applyAlignment="1">
      <alignment horizontal="center" vertical="center" wrapText="1"/>
    </xf>
    <xf numFmtId="9" fontId="39" fillId="2" borderId="42" xfId="0" applyNumberFormat="1" applyFont="1" applyFill="1" applyBorder="1" applyAlignment="1">
      <alignment horizontal="center" vertical="center" wrapText="1"/>
    </xf>
    <xf numFmtId="9" fontId="42" fillId="2" borderId="42" xfId="0" applyNumberFormat="1" applyFont="1" applyFill="1" applyBorder="1" applyAlignment="1">
      <alignment horizontal="center" vertical="center" wrapText="1"/>
    </xf>
    <xf numFmtId="9" fontId="40" fillId="2" borderId="22" xfId="0" applyNumberFormat="1" applyFont="1" applyFill="1" applyBorder="1" applyAlignment="1">
      <alignment horizontal="center" vertical="center" wrapText="1"/>
    </xf>
    <xf numFmtId="0" fontId="4" fillId="0" borderId="4" xfId="0" applyFont="1" applyBorder="1" applyAlignment="1" applyProtection="1">
      <alignment horizontal="center" vertical="center" wrapText="1"/>
      <protection locked="0"/>
    </xf>
    <xf numFmtId="9" fontId="42" fillId="2" borderId="22" xfId="0" applyNumberFormat="1" applyFont="1" applyFill="1" applyBorder="1" applyAlignment="1">
      <alignment horizontal="center" vertical="center" wrapText="1"/>
    </xf>
    <xf numFmtId="0" fontId="4" fillId="0" borderId="2" xfId="0" applyFont="1" applyBorder="1" applyAlignment="1" applyProtection="1">
      <alignment horizontal="left" vertical="top" wrapText="1"/>
      <protection locked="0"/>
    </xf>
    <xf numFmtId="0" fontId="4" fillId="0" borderId="22" xfId="0" applyFont="1" applyBorder="1" applyAlignment="1" applyProtection="1">
      <alignment horizontal="center" vertical="center" wrapText="1"/>
      <protection locked="0"/>
    </xf>
    <xf numFmtId="0" fontId="35" fillId="0" borderId="48" xfId="0" applyFont="1" applyBorder="1" applyAlignment="1" applyProtection="1">
      <alignment horizontal="left" vertical="center" wrapText="1"/>
      <protection locked="0"/>
    </xf>
    <xf numFmtId="0" fontId="49" fillId="0" borderId="0" xfId="0" applyFont="1" applyAlignment="1" applyProtection="1">
      <alignment horizontal="left" vertical="center" wrapText="1"/>
      <protection locked="0"/>
    </xf>
    <xf numFmtId="165" fontId="49" fillId="0" borderId="44" xfId="0" applyNumberFormat="1" applyFont="1" applyBorder="1" applyAlignment="1" applyProtection="1">
      <alignment horizontal="left" vertical="center"/>
      <protection locked="0"/>
    </xf>
    <xf numFmtId="9" fontId="35" fillId="0" borderId="45" xfId="1" applyFont="1" applyBorder="1" applyAlignment="1" applyProtection="1">
      <alignment horizontal="left" vertical="center" wrapText="1"/>
      <protection locked="0"/>
    </xf>
    <xf numFmtId="0" fontId="49" fillId="0" borderId="44" xfId="0" applyFont="1" applyBorder="1" applyAlignment="1" applyProtection="1">
      <alignment horizontal="left" vertical="center"/>
      <protection locked="0"/>
    </xf>
    <xf numFmtId="0" fontId="35" fillId="0" borderId="60" xfId="0" applyFont="1" applyBorder="1" applyAlignment="1" applyProtection="1">
      <alignment horizontal="left" vertical="center"/>
      <protection locked="0"/>
    </xf>
    <xf numFmtId="0" fontId="35" fillId="0" borderId="60" xfId="0" applyFont="1" applyBorder="1" applyAlignment="1" applyProtection="1">
      <alignment horizontal="left" vertical="center" wrapText="1"/>
      <protection locked="0"/>
    </xf>
    <xf numFmtId="0" fontId="49" fillId="0" borderId="60" xfId="0" applyFont="1" applyBorder="1" applyAlignment="1" applyProtection="1">
      <alignment horizontal="left" vertical="center" wrapText="1"/>
      <protection locked="0"/>
    </xf>
    <xf numFmtId="167" fontId="5" fillId="0" borderId="1" xfId="5" applyNumberFormat="1" applyFont="1" applyBorder="1" applyAlignment="1" applyProtection="1">
      <alignment horizontal="center" vertical="center" wrapText="1"/>
    </xf>
    <xf numFmtId="0" fontId="6" fillId="5" borderId="0" xfId="0" applyFont="1" applyFill="1" applyAlignment="1" applyProtection="1">
      <alignment vertical="center" wrapText="1"/>
      <protection locked="0"/>
    </xf>
    <xf numFmtId="0" fontId="4" fillId="0" borderId="27" xfId="0" applyFont="1" applyBorder="1" applyAlignment="1" applyProtection="1">
      <alignment horizontal="center" vertical="center" wrapText="1"/>
      <protection locked="0"/>
    </xf>
    <xf numFmtId="9" fontId="35" fillId="0" borderId="0" xfId="1" applyFont="1" applyBorder="1" applyAlignment="1" applyProtection="1">
      <alignment horizontal="left" vertical="center" wrapText="1"/>
      <protection locked="0"/>
    </xf>
    <xf numFmtId="168" fontId="49" fillId="0" borderId="60" xfId="0" applyNumberFormat="1" applyFont="1" applyBorder="1" applyAlignment="1" applyProtection="1">
      <alignment horizontal="left" vertical="center" wrapText="1"/>
      <protection locked="0"/>
    </xf>
    <xf numFmtId="0" fontId="27" fillId="0" borderId="0" xfId="0" applyFont="1"/>
    <xf numFmtId="0" fontId="4" fillId="0" borderId="0" xfId="0" applyFont="1" applyAlignment="1">
      <alignment vertical="center" wrapText="1"/>
    </xf>
    <xf numFmtId="0" fontId="35" fillId="0" borderId="53" xfId="0" applyFont="1" applyBorder="1" applyAlignment="1">
      <alignment horizontal="left" vertical="center"/>
    </xf>
    <xf numFmtId="0" fontId="49" fillId="0" borderId="44" xfId="0" applyFont="1" applyBorder="1" applyAlignment="1">
      <alignment horizontal="left" vertical="center"/>
    </xf>
    <xf numFmtId="0" fontId="35" fillId="0" borderId="54" xfId="0" applyFont="1" applyBorder="1" applyAlignment="1">
      <alignment horizontal="left" vertical="center"/>
    </xf>
    <xf numFmtId="165" fontId="49" fillId="0" borderId="44" xfId="0" applyNumberFormat="1" applyFont="1" applyBorder="1" applyAlignment="1">
      <alignment horizontal="left" vertical="center"/>
    </xf>
    <xf numFmtId="0" fontId="35" fillId="0" borderId="60" xfId="0" applyFont="1" applyBorder="1" applyAlignment="1">
      <alignment horizontal="left" vertical="center"/>
    </xf>
    <xf numFmtId="0" fontId="35" fillId="0" borderId="60" xfId="0" applyFont="1" applyBorder="1" applyAlignment="1">
      <alignment horizontal="left" vertical="center" wrapText="1"/>
    </xf>
    <xf numFmtId="0" fontId="49" fillId="0" borderId="60" xfId="0" applyFont="1" applyBorder="1" applyAlignment="1">
      <alignment horizontal="left" vertical="center"/>
    </xf>
    <xf numFmtId="0" fontId="35" fillId="0" borderId="48" xfId="0" applyFont="1" applyBorder="1" applyAlignment="1">
      <alignment horizontal="left" vertical="center" wrapText="1"/>
    </xf>
    <xf numFmtId="168" fontId="49" fillId="0" borderId="44" xfId="0" applyNumberFormat="1" applyFont="1" applyBorder="1" applyAlignment="1">
      <alignment horizontal="left" vertical="center"/>
    </xf>
    <xf numFmtId="0" fontId="35" fillId="0" borderId="0" xfId="0" applyFont="1" applyAlignment="1">
      <alignment horizontal="left" vertical="center" wrapText="1"/>
    </xf>
    <xf numFmtId="0" fontId="49" fillId="0" borderId="0" xfId="0" applyFont="1" applyAlignment="1">
      <alignment horizontal="left" vertical="center" wrapText="1"/>
    </xf>
    <xf numFmtId="0" fontId="33" fillId="0" borderId="0" xfId="0" applyFont="1" applyAlignment="1">
      <alignment horizontal="left" vertical="center" wrapText="1"/>
    </xf>
    <xf numFmtId="0" fontId="35" fillId="0" borderId="57" xfId="0" applyFont="1" applyBorder="1" applyAlignment="1">
      <alignment horizontal="left" vertical="center" wrapText="1"/>
    </xf>
    <xf numFmtId="9" fontId="35" fillId="0" borderId="45" xfId="1" applyFont="1" applyBorder="1" applyAlignment="1" applyProtection="1">
      <alignment horizontal="left" vertical="center" wrapText="1"/>
    </xf>
    <xf numFmtId="9" fontId="35" fillId="0" borderId="0" xfId="1" applyFont="1" applyBorder="1" applyAlignment="1" applyProtection="1">
      <alignment horizontal="left" vertical="center" wrapText="1"/>
    </xf>
    <xf numFmtId="0" fontId="35" fillId="3" borderId="29"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35" fillId="3" borderId="24" xfId="0" applyFont="1" applyFill="1" applyBorder="1" applyAlignment="1">
      <alignment horizontal="center" vertical="center" wrapText="1"/>
    </xf>
    <xf numFmtId="0" fontId="4" fillId="0" borderId="13" xfId="0" applyFont="1" applyBorder="1" applyAlignment="1">
      <alignment horizontal="left" vertical="top" wrapText="1" readingOrder="1"/>
    </xf>
    <xf numFmtId="0" fontId="4" fillId="0" borderId="13" xfId="0" applyFont="1" applyBorder="1" applyAlignment="1">
      <alignment horizontal="left" vertical="top" wrapText="1"/>
    </xf>
    <xf numFmtId="0" fontId="5" fillId="0" borderId="13" xfId="0" applyFont="1" applyBorder="1" applyAlignment="1">
      <alignment horizontal="left" vertical="top" wrapText="1"/>
    </xf>
    <xf numFmtId="9" fontId="5" fillId="0" borderId="13" xfId="1" applyFont="1" applyBorder="1" applyAlignment="1" applyProtection="1">
      <alignment horizontal="left" vertical="top" wrapText="1"/>
    </xf>
    <xf numFmtId="164" fontId="13" fillId="0" borderId="13" xfId="0" applyNumberFormat="1" applyFont="1" applyBorder="1" applyAlignment="1">
      <alignment horizontal="left" vertical="top"/>
    </xf>
    <xf numFmtId="0" fontId="4" fillId="0" borderId="1" xfId="0" applyFont="1" applyBorder="1" applyAlignment="1">
      <alignment horizontal="left" vertical="top" wrapText="1" readingOrder="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9" fontId="5" fillId="0" borderId="1" xfId="1" applyFont="1" applyBorder="1" applyAlignment="1" applyProtection="1">
      <alignment horizontal="left" vertical="top" wrapText="1"/>
    </xf>
    <xf numFmtId="164" fontId="13" fillId="0" borderId="1" xfId="0" applyNumberFormat="1" applyFont="1" applyBorder="1" applyAlignment="1">
      <alignment horizontal="left" vertical="top"/>
    </xf>
    <xf numFmtId="0" fontId="4" fillId="2" borderId="30" xfId="0" applyFont="1" applyFill="1" applyBorder="1" applyAlignment="1">
      <alignment horizontal="center" vertical="center" wrapText="1"/>
    </xf>
    <xf numFmtId="0" fontId="11" fillId="2" borderId="16" xfId="0" applyFont="1" applyFill="1" applyBorder="1" applyAlignment="1">
      <alignment horizontal="left" vertical="top" wrapText="1" readingOrder="1"/>
    </xf>
    <xf numFmtId="0" fontId="4" fillId="2" borderId="21" xfId="0" applyFont="1" applyFill="1" applyBorder="1" applyAlignment="1">
      <alignment horizontal="left" vertical="top" wrapText="1" readingOrder="1"/>
    </xf>
    <xf numFmtId="0" fontId="4" fillId="2" borderId="22" xfId="0" applyFont="1" applyFill="1" applyBorder="1" applyAlignment="1">
      <alignment horizontal="left" vertical="top" wrapText="1"/>
    </xf>
    <xf numFmtId="0" fontId="5" fillId="2" borderId="22" xfId="0" applyFont="1" applyFill="1" applyBorder="1" applyAlignment="1">
      <alignment horizontal="left" vertical="top" wrapText="1"/>
    </xf>
    <xf numFmtId="9" fontId="5" fillId="2" borderId="22" xfId="0" applyNumberFormat="1" applyFont="1" applyFill="1" applyBorder="1" applyAlignment="1">
      <alignment horizontal="left" vertical="top" wrapText="1"/>
    </xf>
    <xf numFmtId="164" fontId="9" fillId="2" borderId="22" xfId="0" applyNumberFormat="1" applyFont="1" applyFill="1" applyBorder="1" applyAlignment="1">
      <alignment horizontal="left" vertical="top"/>
    </xf>
    <xf numFmtId="164" fontId="13" fillId="2" borderId="22" xfId="0" applyNumberFormat="1" applyFont="1" applyFill="1" applyBorder="1" applyAlignment="1">
      <alignment horizontal="left" vertical="top"/>
    </xf>
    <xf numFmtId="164" fontId="13" fillId="2" borderId="23" xfId="0" applyNumberFormat="1" applyFont="1" applyFill="1" applyBorder="1" applyAlignment="1">
      <alignment horizontal="left" vertical="top"/>
    </xf>
    <xf numFmtId="0" fontId="4" fillId="0" borderId="13"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6" xfId="0" applyFont="1" applyBorder="1" applyAlignment="1">
      <alignment horizontal="left" vertical="top" wrapText="1" readingOrder="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5" fillId="0" borderId="4" xfId="0" applyFont="1" applyBorder="1" applyAlignment="1">
      <alignment horizontal="left" vertical="top" wrapText="1"/>
    </xf>
    <xf numFmtId="9" fontId="5" fillId="0" borderId="4" xfId="1" applyFont="1" applyBorder="1" applyAlignment="1" applyProtection="1">
      <alignment horizontal="left" vertical="top" wrapText="1"/>
    </xf>
    <xf numFmtId="166" fontId="9" fillId="0" borderId="1" xfId="0" applyNumberFormat="1" applyFont="1" applyBorder="1" applyAlignment="1">
      <alignment horizontal="left" vertical="top"/>
    </xf>
    <xf numFmtId="164" fontId="13" fillId="0" borderId="4" xfId="0" applyNumberFormat="1" applyFont="1" applyBorder="1" applyAlignment="1">
      <alignment horizontal="left" vertical="top"/>
    </xf>
    <xf numFmtId="164" fontId="13" fillId="0" borderId="41" xfId="0" applyNumberFormat="1" applyFont="1" applyBorder="1" applyAlignment="1">
      <alignment horizontal="left" vertical="top"/>
    </xf>
    <xf numFmtId="9" fontId="5" fillId="0" borderId="46" xfId="1" applyFont="1" applyBorder="1" applyAlignment="1" applyProtection="1">
      <alignment horizontal="left" vertical="top" wrapText="1"/>
    </xf>
    <xf numFmtId="0" fontId="4" fillId="0" borderId="15" xfId="0" applyFont="1" applyBorder="1" applyAlignment="1">
      <alignment horizontal="left" vertical="top" wrapText="1" readingOrder="1"/>
    </xf>
    <xf numFmtId="0" fontId="4" fillId="0" borderId="12" xfId="0" applyFont="1" applyBorder="1" applyAlignment="1">
      <alignment horizontal="left" vertical="top" wrapText="1"/>
    </xf>
    <xf numFmtId="164" fontId="9" fillId="0" borderId="4" xfId="0" applyNumberFormat="1" applyFont="1" applyBorder="1" applyAlignment="1">
      <alignment horizontal="left" vertical="top"/>
    </xf>
    <xf numFmtId="164" fontId="9" fillId="0" borderId="1" xfId="0" applyNumberFormat="1" applyFont="1" applyBorder="1" applyAlignment="1">
      <alignment horizontal="left" vertical="top"/>
    </xf>
    <xf numFmtId="0" fontId="5" fillId="0" borderId="17" xfId="0" applyFont="1" applyBorder="1" applyAlignment="1">
      <alignment horizontal="left" vertical="top" wrapText="1"/>
    </xf>
    <xf numFmtId="9" fontId="5" fillId="0" borderId="17" xfId="1" applyFont="1" applyBorder="1" applyAlignment="1" applyProtection="1">
      <alignment horizontal="left" vertical="top" wrapText="1"/>
    </xf>
    <xf numFmtId="164" fontId="9" fillId="0" borderId="17" xfId="0" applyNumberFormat="1" applyFont="1" applyBorder="1" applyAlignment="1">
      <alignment horizontal="left" vertical="top"/>
    </xf>
    <xf numFmtId="164" fontId="13" fillId="0" borderId="17" xfId="0" applyNumberFormat="1" applyFont="1" applyBorder="1" applyAlignment="1">
      <alignment horizontal="left" vertical="top"/>
    </xf>
    <xf numFmtId="164" fontId="13" fillId="0" borderId="18" xfId="0" applyNumberFormat="1" applyFont="1" applyBorder="1" applyAlignment="1">
      <alignment horizontal="left" vertical="top"/>
    </xf>
    <xf numFmtId="9" fontId="5" fillId="0" borderId="19" xfId="1" applyFont="1" applyBorder="1" applyAlignment="1" applyProtection="1">
      <alignment horizontal="left" vertical="top" wrapText="1"/>
    </xf>
    <xf numFmtId="164" fontId="13" fillId="0" borderId="10" xfId="0" applyNumberFormat="1" applyFont="1" applyBorder="1" applyAlignment="1">
      <alignment horizontal="left" vertical="top"/>
    </xf>
    <xf numFmtId="9" fontId="5" fillId="0" borderId="20" xfId="1" applyFont="1" applyBorder="1" applyAlignment="1" applyProtection="1">
      <alignment horizontal="left" vertical="top" wrapText="1"/>
    </xf>
    <xf numFmtId="0" fontId="12" fillId="2" borderId="32" xfId="0" applyFont="1" applyFill="1" applyBorder="1" applyAlignment="1">
      <alignment horizontal="left" vertical="center" wrapText="1" readingOrder="1"/>
    </xf>
    <xf numFmtId="0" fontId="4" fillId="2" borderId="9" xfId="0" applyFont="1" applyFill="1" applyBorder="1" applyAlignment="1">
      <alignment horizontal="left" vertical="top" wrapText="1" readingOrder="1"/>
    </xf>
    <xf numFmtId="0" fontId="4" fillId="2" borderId="32" xfId="0" applyFont="1" applyFill="1" applyBorder="1" applyAlignment="1">
      <alignment horizontal="left" vertical="top" wrapText="1"/>
    </xf>
    <xf numFmtId="0" fontId="47" fillId="2" borderId="32" xfId="0" applyFont="1" applyFill="1" applyBorder="1" applyAlignment="1">
      <alignment horizontal="left" vertical="top" wrapText="1"/>
    </xf>
    <xf numFmtId="0" fontId="22" fillId="2" borderId="32" xfId="0" applyFont="1" applyFill="1" applyBorder="1" applyAlignment="1">
      <alignment horizontal="left" vertical="top" wrapText="1"/>
    </xf>
    <xf numFmtId="9" fontId="47" fillId="2" borderId="32" xfId="0" applyNumberFormat="1" applyFont="1" applyFill="1" applyBorder="1" applyAlignment="1">
      <alignment horizontal="left" vertical="top" wrapText="1"/>
    </xf>
    <xf numFmtId="164" fontId="47" fillId="2" borderId="32" xfId="0" applyNumberFormat="1" applyFont="1" applyFill="1" applyBorder="1" applyAlignment="1">
      <alignment horizontal="left" vertical="top"/>
    </xf>
    <xf numFmtId="164" fontId="48" fillId="2" borderId="32" xfId="0" applyNumberFormat="1" applyFont="1" applyFill="1" applyBorder="1" applyAlignment="1">
      <alignment horizontal="left" vertical="top"/>
    </xf>
    <xf numFmtId="168" fontId="49" fillId="0" borderId="60" xfId="0" applyNumberFormat="1" applyFont="1" applyBorder="1" applyAlignment="1">
      <alignment horizontal="left" vertical="center" wrapText="1"/>
    </xf>
    <xf numFmtId="0" fontId="11" fillId="3" borderId="25"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11" fillId="3" borderId="29" xfId="0" applyFont="1" applyFill="1" applyBorder="1" applyAlignment="1">
      <alignment horizontal="center" vertical="center" wrapText="1"/>
    </xf>
    <xf numFmtId="167" fontId="5" fillId="0" borderId="13" xfId="0" applyNumberFormat="1" applyFont="1" applyBorder="1" applyAlignment="1">
      <alignment horizontal="center" vertical="center" wrapText="1"/>
    </xf>
    <xf numFmtId="164" fontId="9" fillId="0" borderId="13" xfId="0" applyNumberFormat="1" applyFont="1" applyBorder="1" applyAlignment="1">
      <alignment horizontal="center" vertical="center"/>
    </xf>
    <xf numFmtId="3" fontId="13" fillId="0" borderId="13" xfId="0" applyNumberFormat="1" applyFont="1" applyBorder="1" applyAlignment="1">
      <alignment horizontal="center" vertical="center"/>
    </xf>
    <xf numFmtId="167" fontId="4" fillId="0" borderId="0" xfId="0" applyNumberFormat="1" applyFont="1" applyAlignment="1">
      <alignment horizontal="center" vertical="center" wrapText="1"/>
    </xf>
    <xf numFmtId="0" fontId="37" fillId="0" borderId="0" xfId="0" applyFont="1" applyAlignment="1">
      <alignment horizontal="center" vertical="center" wrapText="1"/>
    </xf>
    <xf numFmtId="164" fontId="4" fillId="0" borderId="0" xfId="0" applyNumberFormat="1" applyFont="1" applyAlignment="1">
      <alignment horizontal="center" vertical="center" wrapText="1"/>
    </xf>
    <xf numFmtId="0" fontId="4" fillId="0" borderId="56" xfId="0" applyFont="1" applyBorder="1" applyAlignment="1">
      <alignment horizontal="center" vertical="center" wrapText="1"/>
    </xf>
    <xf numFmtId="0" fontId="4" fillId="0" borderId="1" xfId="0" applyFont="1" applyBorder="1" applyAlignment="1">
      <alignment horizontal="center" vertical="center" wrapText="1"/>
    </xf>
    <xf numFmtId="167" fontId="5"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xf>
    <xf numFmtId="3" fontId="13" fillId="0" borderId="1" xfId="0" applyNumberFormat="1" applyFont="1" applyBorder="1" applyAlignment="1">
      <alignment horizontal="center" vertical="center"/>
    </xf>
    <xf numFmtId="164" fontId="9" fillId="0" borderId="30" xfId="0" applyNumberFormat="1" applyFont="1" applyBorder="1" applyAlignment="1">
      <alignment horizontal="center" vertical="center"/>
    </xf>
    <xf numFmtId="167" fontId="15" fillId="2" borderId="29" xfId="0" applyNumberFormat="1" applyFont="1" applyFill="1" applyBorder="1" applyAlignment="1">
      <alignment horizontal="center" vertical="center" wrapText="1"/>
    </xf>
    <xf numFmtId="0" fontId="16" fillId="2" borderId="29" xfId="0" applyFont="1" applyFill="1" applyBorder="1" applyAlignment="1">
      <alignment horizontal="center" vertical="center" wrapText="1"/>
    </xf>
    <xf numFmtId="164" fontId="15" fillId="2" borderId="29" xfId="0" applyNumberFormat="1" applyFont="1" applyFill="1" applyBorder="1" applyAlignment="1">
      <alignment horizontal="center" vertical="center"/>
    </xf>
    <xf numFmtId="164" fontId="17" fillId="2" borderId="29" xfId="0" applyNumberFormat="1" applyFont="1" applyFill="1" applyBorder="1" applyAlignment="1">
      <alignment horizontal="center" vertical="center"/>
    </xf>
    <xf numFmtId="164" fontId="15" fillId="2" borderId="38" xfId="0" applyNumberFormat="1" applyFont="1" applyFill="1" applyBorder="1" applyAlignment="1">
      <alignment horizontal="center" vertical="center"/>
    </xf>
    <xf numFmtId="0" fontId="50" fillId="0" borderId="0" xfId="0" applyFont="1" applyAlignment="1">
      <alignment horizontal="center" vertical="center" wrapText="1"/>
    </xf>
    <xf numFmtId="168" fontId="49" fillId="0" borderId="60" xfId="0" applyNumberFormat="1" applyFont="1" applyBorder="1" applyAlignment="1">
      <alignment horizontal="left" vertical="center"/>
    </xf>
    <xf numFmtId="0" fontId="20" fillId="0" borderId="13" xfId="4" applyFont="1" applyBorder="1" applyAlignment="1" applyProtection="1">
      <alignment horizontal="left" vertical="center" wrapText="1"/>
      <protection locked="0"/>
    </xf>
    <xf numFmtId="0" fontId="4" fillId="0" borderId="55"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20" fillId="0" borderId="1" xfId="4" applyFont="1" applyBorder="1" applyAlignment="1" applyProtection="1">
      <alignment horizontal="left" vertical="center" wrapText="1"/>
      <protection locked="0"/>
    </xf>
    <xf numFmtId="0" fontId="18" fillId="0" borderId="1" xfId="4" applyBorder="1" applyAlignment="1" applyProtection="1">
      <alignment horizontal="left" vertical="center" wrapText="1"/>
      <protection locked="0"/>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9" fontId="44" fillId="0" borderId="13" xfId="1" applyFont="1" applyBorder="1" applyAlignment="1" applyProtection="1">
      <alignment horizontal="center" vertical="center" wrapText="1"/>
    </xf>
    <xf numFmtId="9" fontId="44" fillId="0" borderId="1" xfId="1" applyFont="1" applyBorder="1" applyAlignment="1" applyProtection="1">
      <alignment horizontal="center" vertical="center" wrapText="1"/>
    </xf>
    <xf numFmtId="0" fontId="5" fillId="0" borderId="11" xfId="0" applyFont="1" applyBorder="1" applyAlignment="1">
      <alignment horizontal="center" vertical="center" wrapText="1"/>
    </xf>
    <xf numFmtId="3" fontId="9" fillId="0" borderId="13"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31" fillId="0" borderId="13" xfId="0" applyNumberFormat="1" applyFont="1" applyBorder="1" applyAlignment="1">
      <alignment horizontal="center" vertical="center" wrapText="1"/>
    </xf>
    <xf numFmtId="3" fontId="31" fillId="0" borderId="1" xfId="0" applyNumberFormat="1" applyFont="1" applyBorder="1" applyAlignment="1">
      <alignment horizontal="center" vertical="center" wrapText="1"/>
    </xf>
    <xf numFmtId="3" fontId="31" fillId="0" borderId="11" xfId="0" applyNumberFormat="1" applyFont="1" applyBorder="1" applyAlignment="1">
      <alignment horizontal="center" vertical="center" wrapText="1"/>
    </xf>
    <xf numFmtId="9" fontId="5" fillId="0" borderId="13" xfId="1" applyFont="1" applyBorder="1" applyAlignment="1" applyProtection="1">
      <alignment horizontal="center" vertical="center" wrapText="1"/>
    </xf>
    <xf numFmtId="9" fontId="5" fillId="0" borderId="1" xfId="1" applyFont="1" applyBorder="1" applyAlignment="1" applyProtection="1">
      <alignment horizontal="center" vertical="center" wrapText="1"/>
    </xf>
    <xf numFmtId="9" fontId="5" fillId="0" borderId="11" xfId="1" applyFont="1" applyBorder="1" applyAlignment="1" applyProtection="1">
      <alignment horizontal="center" vertical="center" wrapText="1"/>
    </xf>
    <xf numFmtId="0" fontId="4" fillId="6" borderId="49"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9" fontId="4" fillId="2" borderId="22" xfId="0" applyNumberFormat="1" applyFont="1" applyFill="1" applyBorder="1" applyAlignment="1">
      <alignment horizontal="center" vertical="center" wrapText="1"/>
    </xf>
    <xf numFmtId="9" fontId="45" fillId="0" borderId="13" xfId="1" applyFont="1" applyBorder="1" applyAlignment="1" applyProtection="1">
      <alignment horizontal="center" vertical="center" wrapText="1"/>
    </xf>
    <xf numFmtId="9" fontId="45" fillId="0" borderId="1" xfId="1" applyFont="1" applyBorder="1" applyAlignment="1" applyProtection="1">
      <alignment horizontal="center" vertical="center" wrapText="1"/>
    </xf>
    <xf numFmtId="9" fontId="46" fillId="2" borderId="42" xfId="0" applyNumberFormat="1" applyFont="1" applyFill="1" applyBorder="1" applyAlignment="1">
      <alignment horizontal="center" vertical="center" wrapText="1"/>
    </xf>
    <xf numFmtId="9" fontId="46" fillId="0" borderId="13" xfId="1" applyFont="1" applyBorder="1" applyAlignment="1" applyProtection="1">
      <alignment horizontal="center" vertical="center" wrapText="1"/>
    </xf>
    <xf numFmtId="9" fontId="46" fillId="0" borderId="1" xfId="1" applyFont="1" applyBorder="1" applyAlignment="1" applyProtection="1">
      <alignment horizontal="center" vertical="center" wrapText="1"/>
    </xf>
    <xf numFmtId="0" fontId="33" fillId="0" borderId="2" xfId="0" applyFont="1" applyBorder="1" applyAlignment="1" applyProtection="1">
      <alignment horizontal="left" vertical="top" wrapText="1"/>
      <protection locked="0"/>
    </xf>
    <xf numFmtId="0" fontId="31" fillId="0" borderId="2" xfId="0" applyFont="1" applyBorder="1" applyAlignment="1" applyProtection="1">
      <alignment horizontal="left" vertical="top" wrapText="1"/>
      <protection locked="0"/>
    </xf>
    <xf numFmtId="0" fontId="51" fillId="0" borderId="2" xfId="0" applyFont="1" applyBorder="1" applyAlignment="1" applyProtection="1">
      <alignment horizontal="left" vertical="top" wrapText="1"/>
      <protection locked="0"/>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4" fillId="4" borderId="53" xfId="0" applyFont="1" applyFill="1" applyBorder="1" applyAlignment="1">
      <alignment horizontal="center" vertical="center" wrapText="1"/>
    </xf>
    <xf numFmtId="0" fontId="14" fillId="4" borderId="54"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25"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22"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21"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28"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27" xfId="0" applyFont="1" applyBorder="1" applyAlignment="1">
      <alignment horizontal="center" vertical="center" wrapText="1"/>
    </xf>
    <xf numFmtId="0" fontId="22" fillId="0" borderId="35" xfId="0" applyFont="1" applyBorder="1" applyAlignment="1">
      <alignment horizontal="left" vertical="center" wrapText="1"/>
    </xf>
    <xf numFmtId="0" fontId="22" fillId="0" borderId="47" xfId="0" applyFont="1" applyBorder="1" applyAlignment="1">
      <alignment horizontal="left"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22" fillId="0" borderId="14" xfId="0" applyFont="1" applyBorder="1" applyAlignment="1">
      <alignment horizontal="left" vertical="center" wrapText="1"/>
    </xf>
    <xf numFmtId="0" fontId="22" fillId="0" borderId="12" xfId="0" applyFont="1" applyBorder="1" applyAlignment="1">
      <alignment horizontal="left" vertical="center" wrapText="1"/>
    </xf>
    <xf numFmtId="0" fontId="22" fillId="0" borderId="2" xfId="0" applyFont="1" applyBorder="1" applyAlignment="1">
      <alignment horizontal="left" vertical="center" wrapText="1"/>
    </xf>
    <xf numFmtId="0" fontId="22" fillId="0" borderId="26" xfId="0" applyFont="1" applyBorder="1" applyAlignment="1">
      <alignment horizontal="left" vertical="center" wrapText="1"/>
    </xf>
    <xf numFmtId="0" fontId="23" fillId="3" borderId="37" xfId="0" applyFont="1" applyFill="1" applyBorder="1" applyAlignment="1" applyProtection="1">
      <alignment horizontal="center" vertical="center" wrapText="1"/>
      <protection locked="0"/>
    </xf>
    <xf numFmtId="0" fontId="23" fillId="3" borderId="7" xfId="0" applyFont="1" applyFill="1" applyBorder="1" applyAlignment="1" applyProtection="1">
      <alignment horizontal="center" vertical="center" wrapText="1"/>
      <protection locked="0"/>
    </xf>
    <xf numFmtId="0" fontId="23" fillId="3" borderId="8" xfId="0" applyFont="1" applyFill="1" applyBorder="1" applyAlignment="1" applyProtection="1">
      <alignment horizontal="center" vertical="center" wrapText="1"/>
      <protection locked="0"/>
    </xf>
    <xf numFmtId="0" fontId="11" fillId="3" borderId="3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44" xfId="0" applyFont="1" applyFill="1" applyBorder="1" applyAlignment="1" applyProtection="1">
      <alignment horizontal="center" vertical="center" wrapText="1"/>
      <protection locked="0"/>
    </xf>
    <xf numFmtId="0" fontId="11" fillId="3" borderId="45"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25" xfId="0" applyFont="1" applyFill="1" applyBorder="1" applyAlignment="1" applyProtection="1">
      <alignment horizontal="center" vertical="center" wrapText="1"/>
      <protection locked="0"/>
    </xf>
    <xf numFmtId="0" fontId="11" fillId="3" borderId="46"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29" fillId="3" borderId="37" xfId="0" applyFont="1" applyFill="1" applyBorder="1" applyAlignment="1" applyProtection="1">
      <alignment horizontal="center" vertical="center" wrapText="1"/>
      <protection locked="0"/>
    </xf>
    <xf numFmtId="0" fontId="29" fillId="3" borderId="7" xfId="0" applyFont="1" applyFill="1" applyBorder="1" applyAlignment="1" applyProtection="1">
      <alignment horizontal="center" vertical="center" wrapText="1"/>
      <protection locked="0"/>
    </xf>
    <xf numFmtId="0" fontId="29" fillId="3" borderId="8" xfId="0" applyFont="1" applyFill="1" applyBorder="1" applyAlignment="1" applyProtection="1">
      <alignment horizontal="center" vertical="center" wrapText="1"/>
      <protection locked="0"/>
    </xf>
    <xf numFmtId="0" fontId="32" fillId="3" borderId="3" xfId="0" applyFont="1" applyFill="1" applyBorder="1" applyAlignment="1" applyProtection="1">
      <alignment horizontal="center" vertical="center" wrapText="1"/>
      <protection locked="0"/>
    </xf>
    <xf numFmtId="0" fontId="32" fillId="3" borderId="25" xfId="0" applyFont="1" applyFill="1" applyBorder="1" applyAlignment="1" applyProtection="1">
      <alignment horizontal="center" vertical="center" wrapText="1"/>
      <protection locked="0"/>
    </xf>
    <xf numFmtId="0" fontId="32" fillId="3" borderId="41" xfId="0" applyFont="1" applyFill="1" applyBorder="1" applyAlignment="1" applyProtection="1">
      <alignment horizontal="center" vertical="center" wrapText="1"/>
      <protection locked="0"/>
    </xf>
    <xf numFmtId="0" fontId="32" fillId="3" borderId="23"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14" fillId="4" borderId="12" xfId="0" applyFont="1" applyFill="1" applyBorder="1" applyAlignment="1" applyProtection="1">
      <alignment horizontal="center" vertical="center" wrapText="1"/>
      <protection locked="0"/>
    </xf>
    <xf numFmtId="0" fontId="14" fillId="4" borderId="14" xfId="0" applyFont="1" applyFill="1" applyBorder="1" applyAlignment="1" applyProtection="1">
      <alignment horizontal="center" vertical="center" wrapText="1"/>
      <protection locked="0"/>
    </xf>
    <xf numFmtId="0" fontId="14" fillId="4" borderId="59"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wrapText="1"/>
      <protection locked="0"/>
    </xf>
    <xf numFmtId="0" fontId="11" fillId="3" borderId="37"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29" fillId="3" borderId="37"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3" fillId="3" borderId="37"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6" fillId="4" borderId="23" xfId="0" applyFont="1" applyFill="1" applyBorder="1" applyAlignment="1" applyProtection="1">
      <alignment horizontal="center" vertical="center" wrapText="1"/>
      <protection locked="0"/>
    </xf>
    <xf numFmtId="0" fontId="6" fillId="4" borderId="52" xfId="0" applyFont="1" applyFill="1" applyBorder="1" applyAlignment="1" applyProtection="1">
      <alignment horizontal="center" vertical="center" wrapText="1"/>
      <protection locked="0"/>
    </xf>
    <xf numFmtId="0" fontId="6" fillId="4" borderId="0" xfId="0" applyFont="1" applyFill="1" applyAlignment="1" applyProtection="1">
      <alignment horizontal="center" vertical="center" wrapText="1"/>
      <protection locked="0"/>
    </xf>
    <xf numFmtId="0" fontId="6" fillId="4" borderId="48"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50" xfId="0" applyFont="1" applyFill="1" applyBorder="1" applyAlignment="1" applyProtection="1">
      <alignment horizontal="center" vertical="center" wrapText="1"/>
      <protection locked="0"/>
    </xf>
    <xf numFmtId="0" fontId="32" fillId="3" borderId="46" xfId="0" applyFont="1" applyFill="1" applyBorder="1" applyAlignment="1" applyProtection="1">
      <alignment horizontal="center" vertical="center" wrapText="1"/>
      <protection locked="0"/>
    </xf>
    <xf numFmtId="0" fontId="32" fillId="3" borderId="42"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29" fillId="3" borderId="18" xfId="0" applyFont="1" applyFill="1" applyBorder="1" applyAlignment="1" applyProtection="1">
      <alignment horizontal="center" wrapText="1"/>
      <protection locked="0"/>
    </xf>
    <xf numFmtId="0" fontId="29" fillId="3" borderId="8" xfId="0" applyFont="1" applyFill="1" applyBorder="1" applyAlignment="1" applyProtection="1">
      <alignment horizontal="center" wrapText="1"/>
      <protection locked="0"/>
    </xf>
    <xf numFmtId="0" fontId="14" fillId="6" borderId="49" xfId="0" applyFont="1" applyFill="1" applyBorder="1" applyAlignment="1" applyProtection="1">
      <alignment horizontal="left" vertical="center" wrapText="1"/>
      <protection locked="0"/>
    </xf>
    <xf numFmtId="0" fontId="14" fillId="6" borderId="50" xfId="0" applyFont="1" applyFill="1" applyBorder="1" applyAlignment="1" applyProtection="1">
      <alignment horizontal="left" vertical="center" wrapText="1"/>
      <protection locked="0"/>
    </xf>
    <xf numFmtId="0" fontId="54" fillId="6" borderId="48" xfId="0" applyFont="1" applyFill="1" applyBorder="1" applyAlignment="1" applyProtection="1">
      <alignment horizontal="left" vertical="center" wrapText="1"/>
      <protection locked="0"/>
    </xf>
    <xf numFmtId="0" fontId="55" fillId="0" borderId="0" xfId="0" applyFont="1" applyProtection="1">
      <protection locked="0"/>
    </xf>
    <xf numFmtId="0" fontId="56" fillId="0" borderId="0" xfId="0" applyFont="1" applyProtection="1">
      <protection locked="0"/>
    </xf>
  </cellXfs>
  <cellStyles count="9">
    <cellStyle name="Comma 2" xfId="8" xr:uid="{95567EA2-A227-4478-B81F-EFF246F22AF2}"/>
    <cellStyle name="Currency" xfId="5" builtinId="4"/>
    <cellStyle name="Currency 2" xfId="3" xr:uid="{00000000-0005-0000-0000-000000000000}"/>
    <cellStyle name="Currency 2 2" xfId="6" xr:uid="{FE726225-DFBF-4D8C-A049-8B751878B3AA}"/>
    <cellStyle name="Currency 3" xfId="7" xr:uid="{2E4CFCF0-37E9-4AB0-AE06-288423A8F04C}"/>
    <cellStyle name="Hyperlink" xfId="4" builtinId="8"/>
    <cellStyle name="Normal" xfId="0" builtinId="0"/>
    <cellStyle name="Normal 2" xfId="2" xr:uid="{00000000-0005-0000-0000-000003000000}"/>
    <cellStyle name="Percent" xfId="1" builtinId="5"/>
  </cellStyles>
  <dxfs count="2560">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92D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dxf>
    <dxf>
      <font>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sz val="12"/>
        <name val="Futura Bk BT"/>
        <family val="2"/>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dxf>
    <dxf>
      <font>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dxf>
    <dxf>
      <font>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92D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92D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dxf>
    <dxf>
      <numFmt numFmtId="0" formatCode="General"/>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numFmt numFmtId="0" formatCode="General"/>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92D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font>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font>
        <b/>
        <strike val="0"/>
        <outline val="0"/>
        <shadow val="0"/>
        <u val="none"/>
        <vertAlign val="baseline"/>
        <sz val="12"/>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sz val="12"/>
        <name val="Futura Bk BT"/>
        <family val="2"/>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medium">
          <color indexed="64"/>
        </left>
        <right style="thin">
          <color indexed="64"/>
        </right>
        <top/>
        <bottom style="medium">
          <color indexed="64"/>
        </bottom>
      </border>
      <protection locked="1" hidden="0"/>
    </dxf>
    <dxf>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font>
        <b/>
        <sz val="12"/>
        <color rgb="FFFF0000"/>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protection locked="1" hidden="0"/>
    </dxf>
    <dxf>
      <font>
        <b/>
        <sz val="12"/>
        <color rgb="FFFF0000"/>
        <name val="Futura Bk BT"/>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protection locked="1" hidden="0"/>
    </dxf>
    <dxf>
      <font>
        <b/>
        <strike val="0"/>
        <outline val="0"/>
        <shadow val="0"/>
        <u val="none"/>
        <vertAlign val="baseline"/>
        <sz val="12"/>
        <color rgb="FF00B050"/>
        <name val="Futura Bk BT"/>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sz val="12"/>
        <name val="Futura Bk BT"/>
        <family val="2"/>
        <scheme val="none"/>
      </font>
      <numFmt numFmtId="3" formatCode="#,##0"/>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sz val="12"/>
        <name val="Futura Bk BT"/>
        <family val="2"/>
        <scheme val="none"/>
      </font>
      <numFmt numFmtId="3" formatCode="#,##0"/>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protection locked="1" hidden="0"/>
    </dxf>
    <dxf>
      <font>
        <sz val="12"/>
        <color rgb="FFFF0000"/>
        <name val="Futura Bk BT"/>
        <family val="2"/>
        <scheme val="none"/>
      </font>
      <numFmt numFmtId="3" formatCode="#,##0"/>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protection locked="1" hidden="0"/>
    </dxf>
    <dxf>
      <font>
        <b/>
        <strike val="0"/>
        <outline val="0"/>
        <shadow val="0"/>
        <u val="none"/>
        <vertAlign val="baseline"/>
        <sz val="12"/>
        <color rgb="FF00B050"/>
        <name val="Futura Bk BT"/>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sz val="12"/>
        <name val="Futura Bk BT"/>
        <family val="2"/>
        <scheme val="none"/>
      </font>
      <numFmt numFmtId="3" formatCode="#,##0"/>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sz val="12"/>
        <name val="Futura Bk BT"/>
        <family val="2"/>
        <scheme val="none"/>
      </font>
      <numFmt numFmtId="3" formatCode="#,##0"/>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protection locked="1" hidden="0"/>
    </dxf>
    <dxf>
      <font>
        <color rgb="FFFF0000"/>
        <name val="Futura Bk BT"/>
        <family val="2"/>
        <scheme val="none"/>
      </font>
      <numFmt numFmtId="3" formatCode="#,##0"/>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sz val="12"/>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sz val="12"/>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protection locked="1" hidden="0"/>
    </dxf>
    <dxf>
      <font>
        <b/>
        <sz val="12"/>
        <color rgb="FFFF0000"/>
        <name val="Futura Bk BT"/>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protection locked="1" hidden="0"/>
    </dxf>
    <dxf>
      <font>
        <b/>
        <strike val="0"/>
        <outline val="0"/>
        <shadow val="0"/>
        <u val="none"/>
        <vertAlign val="baseline"/>
        <color rgb="FF00B050"/>
        <name val="Futura Bk BT"/>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sz val="12"/>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sz val="12"/>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protection locked="1" hidden="0"/>
    </dxf>
    <dxf>
      <font>
        <b/>
        <sz val="12"/>
        <color rgb="FFFF0000"/>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font>
        <sz val="12"/>
        <name val="Futura Bk BT"/>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font>
        <sz val="12"/>
        <name val="Futura Bk BT"/>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2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left style="thin">
          <color indexed="64"/>
        </left>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font>
        <sz val="12"/>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FF0000"/>
        <name val="Futura Bk BT"/>
        <family val="2"/>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B050"/>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B050"/>
        <name val="Futura Bk BT"/>
        <scheme val="none"/>
      </font>
      <numFmt numFmtId="1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medium">
          <color indexed="64"/>
        </right>
        <top/>
        <bottom style="medium">
          <color indexed="64"/>
        </bottom>
      </border>
    </dxf>
    <dxf>
      <font>
        <b/>
        <strike val="0"/>
        <outline val="0"/>
        <shadow val="0"/>
        <u val="none"/>
        <vertAlign val="baseline"/>
        <color rgb="FF00B050"/>
        <name val="Futura Bk BT"/>
        <scheme val="none"/>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font>
        <sz val="12"/>
        <name val="Futura Bk BT"/>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style="medium">
          <color indexed="64"/>
        </bottom>
      </border>
    </dxf>
    <dxf>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bottom style="medium">
          <color indexed="64"/>
        </bottom>
      </border>
    </dxf>
    <dxf>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strike val="0"/>
        <outline val="0"/>
        <shadow val="0"/>
        <u val="none"/>
        <vertAlign val="baseline"/>
        <sz val="14"/>
        <color rgb="FFFF0000"/>
        <name val="Futura Bk BT"/>
        <scheme val="none"/>
      </font>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top/>
        <bottom style="medium">
          <color indexed="64"/>
        </bottom>
      </border>
    </dxf>
    <dxf>
      <font>
        <b/>
        <sz val="12"/>
        <color rgb="FFFF0000"/>
        <name val="Futura Bk BT"/>
        <scheme val="none"/>
      </font>
      <alignment horizontal="left" vertical="top"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strike val="0"/>
        <outline val="0"/>
        <shadow val="0"/>
        <u val="none"/>
        <vertAlign val="baseline"/>
        <sz val="14"/>
        <color rgb="FFFF0000"/>
        <name val="Futura Bk BT"/>
        <scheme val="none"/>
      </font>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style="medium">
          <color indexed="64"/>
        </bottom>
      </border>
    </dxf>
    <dxf>
      <font>
        <b/>
        <sz val="12"/>
        <color rgb="FFFF0000"/>
        <name val="Futura Bk BT"/>
        <scheme val="none"/>
      </font>
      <alignment horizontal="left" vertical="top"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i val="0"/>
        <strike val="0"/>
        <condense val="0"/>
        <extend val="0"/>
        <outline val="0"/>
        <shadow val="0"/>
        <u val="none"/>
        <vertAlign val="baseline"/>
        <sz val="14"/>
        <color rgb="FFFF0000"/>
        <name val="Futura Bk BT"/>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i val="0"/>
        <strike val="0"/>
        <condense val="0"/>
        <extend val="0"/>
        <outline val="0"/>
        <shadow val="0"/>
        <u val="none"/>
        <vertAlign val="baseline"/>
        <sz val="12"/>
        <color rgb="FFFF0000"/>
        <name val="Futura Bk BT"/>
        <scheme val="none"/>
      </font>
      <alignment horizontal="left" vertical="top"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thin">
          <color indexed="64"/>
        </bottom>
      </border>
    </dxf>
    <dxf>
      <font>
        <b/>
        <i val="0"/>
        <strike val="0"/>
        <condense val="0"/>
        <extend val="0"/>
        <outline val="0"/>
        <shadow val="0"/>
        <u val="none"/>
        <vertAlign val="baseline"/>
        <sz val="14"/>
        <color rgb="FFFF0000"/>
        <name val="Futura Bk BT"/>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top style="medium">
          <color indexed="64"/>
        </top>
        <bottom style="thin">
          <color indexed="64"/>
        </bottom>
      </border>
    </dxf>
    <dxf>
      <font>
        <b/>
        <i val="0"/>
        <strike val="0"/>
        <condense val="0"/>
        <extend val="0"/>
        <outline val="0"/>
        <shadow val="0"/>
        <u val="none"/>
        <vertAlign val="baseline"/>
        <sz val="14"/>
        <color rgb="FFFF0000"/>
        <name val="Futura Bk BT"/>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medium">
          <color indexed="64"/>
        </left>
        <right/>
        <top style="medium">
          <color indexed="64"/>
        </top>
        <bottom style="thin">
          <color indexed="64"/>
        </bottom>
      </border>
    </dxf>
    <dxf>
      <font>
        <b/>
        <i val="0"/>
        <strike val="0"/>
        <condense val="0"/>
        <extend val="0"/>
        <outline val="0"/>
        <shadow val="0"/>
        <u val="none"/>
        <vertAlign val="baseline"/>
        <sz val="14"/>
        <color rgb="FFFF0000"/>
        <name val="Futura Bk BT"/>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top style="medium">
          <color indexed="64"/>
        </top>
        <bottom style="medium">
          <color indexed="64"/>
        </bottom>
      </border>
    </dxf>
    <dxf>
      <font>
        <b val="0"/>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border>
    </dxf>
    <dxf>
      <font>
        <b/>
        <i val="0"/>
        <strike val="0"/>
        <condense val="0"/>
        <extend val="0"/>
        <outline val="0"/>
        <shadow val="0"/>
        <u val="none"/>
        <vertAlign val="baseline"/>
        <sz val="14"/>
        <color rgb="FFFF0000"/>
        <name val="Futura Bk BT"/>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i val="0"/>
        <strike val="0"/>
        <condense val="0"/>
        <extend val="0"/>
        <outline val="0"/>
        <shadow val="0"/>
        <u val="none"/>
        <vertAlign val="baseline"/>
        <sz val="12"/>
        <color rgb="FFFF0000"/>
        <name val="Futura Bk BT"/>
        <scheme val="none"/>
      </font>
      <alignment horizontal="left" vertical="top"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protection locked="0" hidden="0"/>
    </dxf>
    <dxf>
      <border outline="0">
        <left style="thin">
          <color indexed="64"/>
        </left>
        <right style="thin">
          <color indexed="64"/>
        </right>
      </border>
    </dxf>
    <dxf>
      <protection locked="0" hidden="0"/>
    </dxf>
    <dxf>
      <font>
        <b/>
        <i val="0"/>
        <strike val="0"/>
        <condense val="0"/>
        <extend val="0"/>
        <outline val="0"/>
        <shadow val="0"/>
        <u val="none"/>
        <vertAlign val="baseline"/>
        <sz val="14"/>
        <color theme="1"/>
        <name val="Futura Bk BT"/>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vertical/>
        <horizontal/>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vertical/>
        <horizontal/>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vertical/>
        <horizontal/>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vertical/>
        <horizontal/>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vertical/>
        <horizontal/>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vertical/>
        <horizontal/>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rgb="FFFF0000"/>
        <name val="Futura Bk BT"/>
        <family val="2"/>
        <scheme val="none"/>
      </font>
      <numFmt numFmtId="166" formatCode="_-[$$-409]* #,##0.00_ ;_-[$$-409]* \-#,##0.0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right style="thin">
          <color indexed="64"/>
        </right>
        <top style="thin">
          <color indexed="64"/>
        </top>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numFmt numFmtId="164" formatCode="_-[$$-409]* #,##0_ ;_-[$$-409]* \-#,##0\ ;_-[$$-409]* &quot;-&quot;??_ ;_-@_ "/>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rgb="FFFF0000"/>
        <name val="Futura Bk BT"/>
        <family val="2"/>
        <scheme val="none"/>
      </font>
      <numFmt numFmtId="164" formatCode="_-[$$-409]* #,##0_ ;_-[$$-409]* \-#,##0\ ;_-[$$-409]* &quot;-&quot;??_ ;_-@_ "/>
      <fill>
        <patternFill patternType="solid">
          <fgColor indexed="64"/>
          <bgColor rgb="FFFFFF00"/>
        </patternFill>
      </fill>
      <alignment horizontal="left" vertical="top" textRotation="0" wrapText="0"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numFmt numFmtId="164" formatCode="_-[$$-409]* #,##0_ ;_-[$$-409]* \-#,##0\ ;_-[$$-409]* &quot;-&quot;??_ ;_-@_ "/>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Futura Bk BT"/>
        <family val="2"/>
        <scheme val="none"/>
      </font>
      <numFmt numFmtId="164" formatCode="_-[$$-409]* #,##0_ ;_-[$$-409]* \-#,##0\ ;_-[$$-409]* &quot;-&quot;??_ ;_-@_ "/>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numFmt numFmtId="13" formatCode="0%"/>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rgb="FFFF0000"/>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i val="0"/>
        <strike val="0"/>
        <condense val="0"/>
        <extend val="0"/>
        <outline val="0"/>
        <shadow val="0"/>
        <u val="none"/>
        <vertAlign val="baseline"/>
        <sz val="12"/>
        <color rgb="FFFF0000"/>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Futura Bk BT"/>
        <family val="2"/>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Futura Bk BT"/>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Futura Bk BT"/>
        <family val="2"/>
        <scheme val="none"/>
      </font>
      <fill>
        <patternFill patternType="solid">
          <fgColor indexed="64"/>
          <bgColor rgb="FFFFFF00"/>
        </patternFill>
      </fill>
      <alignment horizontal="left" vertical="top" textRotation="0" wrapText="1" indent="0" justifyLastLine="0" shrinkToFit="0" readingOrder="1"/>
      <border diagonalUp="0" diagonalDown="0">
        <left/>
        <right style="thin">
          <color indexed="64"/>
        </right>
        <top/>
        <bottom style="medium">
          <color indexed="64"/>
        </bottom>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Futura Bk BT"/>
        <family val="2"/>
        <scheme val="none"/>
      </font>
      <alignment horizontal="left" vertical="top" textRotation="0" wrapText="1" indent="0" justifyLastLine="0" shrinkToFit="0" readingOrder="1"/>
      <border diagonalUp="0" diagonalDown="0" outline="0">
        <left/>
        <right style="thin">
          <color indexed="64"/>
        </right>
        <top/>
        <bottom/>
      </border>
    </dxf>
    <dxf>
      <alignment horizontal="left" vertical="top" textRotation="0" indent="0" justifyLastLine="0" shrinkToFit="0"/>
      <protection locked="1" hidden="0"/>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protection locked="1" hidden="0"/>
    </dxf>
    <dxf>
      <alignment horizontal="left" vertical="top" textRotation="0" indent="0" justifyLastLine="0" shrinkToFit="0"/>
      <protection locked="1" hidden="0"/>
    </dxf>
  </dxfs>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ustomXml" Target="../ink/ink1.xml"/><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customXml" Target="../ink/ink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152400</xdr:colOff>
      <xdr:row>2</xdr:row>
      <xdr:rowOff>146050</xdr:rowOff>
    </xdr:to>
    <xdr:pic>
      <xdr:nvPicPr>
        <xdr:cNvPr id="13" name="Picture 12">
          <a:extLst>
            <a:ext uri="{FF2B5EF4-FFF2-40B4-BE49-F238E27FC236}">
              <a16:creationId xmlns:a16="http://schemas.microsoft.com/office/drawing/2014/main" id="{013535AD-379D-4D75-8961-C254251524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140607</xdr:rowOff>
    </xdr:to>
    <xdr:pic>
      <xdr:nvPicPr>
        <xdr:cNvPr id="2" name="Picture 1">
          <a:extLst>
            <a:ext uri="{FF2B5EF4-FFF2-40B4-BE49-F238E27FC236}">
              <a16:creationId xmlns:a16="http://schemas.microsoft.com/office/drawing/2014/main" id="{E6B47CF4-5EB0-482D-941B-8A7A8A7477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149129</xdr:rowOff>
    </xdr:to>
    <xdr:pic>
      <xdr:nvPicPr>
        <xdr:cNvPr id="2" name="Picture 1">
          <a:extLst>
            <a:ext uri="{FF2B5EF4-FFF2-40B4-BE49-F238E27FC236}">
              <a16:creationId xmlns:a16="http://schemas.microsoft.com/office/drawing/2014/main" id="{D0CE32C1-AC10-41A8-96DE-96EA910FE2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150542</xdr:rowOff>
    </xdr:to>
    <xdr:pic>
      <xdr:nvPicPr>
        <xdr:cNvPr id="2" name="Picture 1">
          <a:extLst>
            <a:ext uri="{FF2B5EF4-FFF2-40B4-BE49-F238E27FC236}">
              <a16:creationId xmlns:a16="http://schemas.microsoft.com/office/drawing/2014/main" id="{E3054E87-8195-427A-8C39-69F7992FA3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137583</xdr:rowOff>
    </xdr:to>
    <xdr:pic>
      <xdr:nvPicPr>
        <xdr:cNvPr id="2" name="Picture 1">
          <a:extLst>
            <a:ext uri="{FF2B5EF4-FFF2-40B4-BE49-F238E27FC236}">
              <a16:creationId xmlns:a16="http://schemas.microsoft.com/office/drawing/2014/main" id="{95C769BC-7522-403D-AAEE-DB43439281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149129</xdr:rowOff>
    </xdr:to>
    <xdr:pic>
      <xdr:nvPicPr>
        <xdr:cNvPr id="2" name="Picture 1">
          <a:extLst>
            <a:ext uri="{FF2B5EF4-FFF2-40B4-BE49-F238E27FC236}">
              <a16:creationId xmlns:a16="http://schemas.microsoft.com/office/drawing/2014/main" id="{9F3EF44E-9B5A-4D05-96B4-42C797D1C2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149129</xdr:rowOff>
    </xdr:to>
    <xdr:pic>
      <xdr:nvPicPr>
        <xdr:cNvPr id="2" name="Picture 1">
          <a:extLst>
            <a:ext uri="{FF2B5EF4-FFF2-40B4-BE49-F238E27FC236}">
              <a16:creationId xmlns:a16="http://schemas.microsoft.com/office/drawing/2014/main" id="{BDDC3917-C06D-496E-ABC6-9C86D0504C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137583</xdr:rowOff>
    </xdr:to>
    <xdr:pic>
      <xdr:nvPicPr>
        <xdr:cNvPr id="2" name="Picture 1">
          <a:extLst>
            <a:ext uri="{FF2B5EF4-FFF2-40B4-BE49-F238E27FC236}">
              <a16:creationId xmlns:a16="http://schemas.microsoft.com/office/drawing/2014/main" id="{B6355271-BBC5-48BD-ABA6-4EF5537F69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149129</xdr:rowOff>
    </xdr:to>
    <xdr:pic>
      <xdr:nvPicPr>
        <xdr:cNvPr id="2" name="Picture 1">
          <a:extLst>
            <a:ext uri="{FF2B5EF4-FFF2-40B4-BE49-F238E27FC236}">
              <a16:creationId xmlns:a16="http://schemas.microsoft.com/office/drawing/2014/main" id="{3586610F-4F61-4FAB-9686-0B29B2259A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149129</xdr:rowOff>
    </xdr:to>
    <xdr:pic>
      <xdr:nvPicPr>
        <xdr:cNvPr id="2" name="Picture 1">
          <a:extLst>
            <a:ext uri="{FF2B5EF4-FFF2-40B4-BE49-F238E27FC236}">
              <a16:creationId xmlns:a16="http://schemas.microsoft.com/office/drawing/2014/main" id="{9CAD5ECA-D915-4B90-A3B0-76F73E9125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137583</xdr:rowOff>
    </xdr:to>
    <xdr:pic>
      <xdr:nvPicPr>
        <xdr:cNvPr id="2" name="Picture 1">
          <a:extLst>
            <a:ext uri="{FF2B5EF4-FFF2-40B4-BE49-F238E27FC236}">
              <a16:creationId xmlns:a16="http://schemas.microsoft.com/office/drawing/2014/main" id="{CE57D0D9-6171-4FB0-8E40-434125C499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139700</xdr:rowOff>
    </xdr:to>
    <xdr:pic>
      <xdr:nvPicPr>
        <xdr:cNvPr id="2" name="Picture 1">
          <a:extLst>
            <a:ext uri="{FF2B5EF4-FFF2-40B4-BE49-F238E27FC236}">
              <a16:creationId xmlns:a16="http://schemas.microsoft.com/office/drawing/2014/main" id="{7329935E-6ED9-4343-9D89-98FB278928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250" cy="5461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137583</xdr:rowOff>
    </xdr:to>
    <xdr:pic>
      <xdr:nvPicPr>
        <xdr:cNvPr id="2" name="Picture 1">
          <a:extLst>
            <a:ext uri="{FF2B5EF4-FFF2-40B4-BE49-F238E27FC236}">
              <a16:creationId xmlns:a16="http://schemas.microsoft.com/office/drawing/2014/main" id="{12D8CFF1-D596-4379-A492-0D5AB8DCD0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149129</xdr:rowOff>
    </xdr:to>
    <xdr:pic>
      <xdr:nvPicPr>
        <xdr:cNvPr id="2" name="Picture 1">
          <a:extLst>
            <a:ext uri="{FF2B5EF4-FFF2-40B4-BE49-F238E27FC236}">
              <a16:creationId xmlns:a16="http://schemas.microsoft.com/office/drawing/2014/main" id="{7A371E17-3450-4792-9C7A-3C8B181CE3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149129</xdr:rowOff>
    </xdr:to>
    <xdr:pic>
      <xdr:nvPicPr>
        <xdr:cNvPr id="2" name="Picture 1">
          <a:extLst>
            <a:ext uri="{FF2B5EF4-FFF2-40B4-BE49-F238E27FC236}">
              <a16:creationId xmlns:a16="http://schemas.microsoft.com/office/drawing/2014/main" id="{29D4CD79-ECF4-4169-A435-2F99624CCC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148531</xdr:rowOff>
    </xdr:to>
    <xdr:pic>
      <xdr:nvPicPr>
        <xdr:cNvPr id="2" name="Picture 1">
          <a:extLst>
            <a:ext uri="{FF2B5EF4-FFF2-40B4-BE49-F238E27FC236}">
              <a16:creationId xmlns:a16="http://schemas.microsoft.com/office/drawing/2014/main" id="{E1AB6441-8FA3-4CB6-ABB2-BBEAA8371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139700</xdr:rowOff>
    </xdr:to>
    <xdr:pic>
      <xdr:nvPicPr>
        <xdr:cNvPr id="2" name="Picture 1">
          <a:extLst>
            <a:ext uri="{FF2B5EF4-FFF2-40B4-BE49-F238E27FC236}">
              <a16:creationId xmlns:a16="http://schemas.microsoft.com/office/drawing/2014/main" id="{840813A2-8C57-4579-B26A-5B0DE373EF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twoCellAnchor editAs="oneCell">
    <xdr:from>
      <xdr:col>6</xdr:col>
      <xdr:colOff>52760</xdr:colOff>
      <xdr:row>12</xdr:row>
      <xdr:rowOff>0</xdr:rowOff>
    </xdr:from>
    <xdr:to>
      <xdr:col>6</xdr:col>
      <xdr:colOff>93440</xdr:colOff>
      <xdr:row>12</xdr:row>
      <xdr:rowOff>1080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Ink 2">
              <a:extLst>
                <a:ext uri="{FF2B5EF4-FFF2-40B4-BE49-F238E27FC236}">
                  <a16:creationId xmlns:a16="http://schemas.microsoft.com/office/drawing/2014/main" id="{4B62CA00-FB08-31BC-DCA3-3C52B5B6E8A5}"/>
                </a:ext>
              </a:extLst>
            </xdr14:cNvPr>
            <xdr14:cNvContentPartPr/>
          </xdr14:nvContentPartPr>
          <xdr14:nvPr macro=""/>
          <xdr14:xfrm>
            <a:off x="11321124" y="5648760"/>
            <a:ext cx="40680" cy="1080"/>
          </xdr14:xfrm>
        </xdr:contentPart>
      </mc:Choice>
      <mc:Fallback xmlns="">
        <xdr:pic>
          <xdr:nvPicPr>
            <xdr:cNvPr id="3" name="Ink 2">
              <a:extLst>
                <a:ext uri="{FF2B5EF4-FFF2-40B4-BE49-F238E27FC236}">
                  <a16:creationId xmlns:a16="http://schemas.microsoft.com/office/drawing/2014/main" id="{4B62CA00-FB08-31BC-DCA3-3C52B5B6E8A5}"/>
                </a:ext>
              </a:extLst>
            </xdr:cNvPr>
            <xdr:cNvPicPr/>
          </xdr:nvPicPr>
          <xdr:blipFill>
            <a:blip xmlns:r="http://schemas.openxmlformats.org/officeDocument/2006/relationships" r:embed="rId3"/>
            <a:stretch>
              <a:fillRect/>
            </a:stretch>
          </xdr:blipFill>
          <xdr:spPr>
            <a:xfrm>
              <a:off x="11312484" y="5640120"/>
              <a:ext cx="58320" cy="18720"/>
            </a:xfrm>
            <a:prstGeom prst="rect">
              <a:avLst/>
            </a:prstGeom>
          </xdr:spPr>
        </xdr:pic>
      </mc:Fallback>
    </mc:AlternateContent>
    <xdr:clientData/>
  </xdr:twoCellAnchor>
  <xdr:twoCellAnchor editAs="oneCell">
    <xdr:from>
      <xdr:col>3</xdr:col>
      <xdr:colOff>1727066</xdr:colOff>
      <xdr:row>12</xdr:row>
      <xdr:rowOff>0</xdr:rowOff>
    </xdr:from>
    <xdr:to>
      <xdr:col>3</xdr:col>
      <xdr:colOff>1727426</xdr:colOff>
      <xdr:row>12</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1DA193C7-C8EE-2FD2-89E3-C3C8639F9E59}"/>
                </a:ext>
              </a:extLst>
            </xdr14:cNvPr>
            <xdr14:cNvContentPartPr/>
          </xdr14:nvContentPartPr>
          <xdr14:nvPr macro=""/>
          <xdr14:xfrm>
            <a:off x="7141884" y="6372720"/>
            <a:ext cx="360" cy="360"/>
          </xdr14:xfrm>
        </xdr:contentPart>
      </mc:Choice>
      <mc:Fallback xmlns="">
        <xdr:pic>
          <xdr:nvPicPr>
            <xdr:cNvPr id="4" name="Ink 3">
              <a:extLst>
                <a:ext uri="{FF2B5EF4-FFF2-40B4-BE49-F238E27FC236}">
                  <a16:creationId xmlns:a16="http://schemas.microsoft.com/office/drawing/2014/main" id="{1DA193C7-C8EE-2FD2-89E3-C3C8639F9E59}"/>
                </a:ext>
              </a:extLst>
            </xdr:cNvPr>
            <xdr:cNvPicPr/>
          </xdr:nvPicPr>
          <xdr:blipFill>
            <a:blip xmlns:r="http://schemas.openxmlformats.org/officeDocument/2006/relationships" r:embed="rId5"/>
            <a:stretch>
              <a:fillRect/>
            </a:stretch>
          </xdr:blipFill>
          <xdr:spPr>
            <a:xfrm>
              <a:off x="7133244" y="636372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132264</xdr:rowOff>
    </xdr:to>
    <xdr:pic>
      <xdr:nvPicPr>
        <xdr:cNvPr id="2" name="Picture 1">
          <a:extLst>
            <a:ext uri="{FF2B5EF4-FFF2-40B4-BE49-F238E27FC236}">
              <a16:creationId xmlns:a16="http://schemas.microsoft.com/office/drawing/2014/main" id="{B00EC703-2D13-4045-AD06-D12FA67F0F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143809</xdr:rowOff>
    </xdr:to>
    <xdr:pic>
      <xdr:nvPicPr>
        <xdr:cNvPr id="2" name="Picture 1">
          <a:extLst>
            <a:ext uri="{FF2B5EF4-FFF2-40B4-BE49-F238E27FC236}">
              <a16:creationId xmlns:a16="http://schemas.microsoft.com/office/drawing/2014/main" id="{63008238-97E3-4066-9A5C-65B5390B10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137583</xdr:rowOff>
    </xdr:to>
    <xdr:pic>
      <xdr:nvPicPr>
        <xdr:cNvPr id="2" name="Picture 1">
          <a:extLst>
            <a:ext uri="{FF2B5EF4-FFF2-40B4-BE49-F238E27FC236}">
              <a16:creationId xmlns:a16="http://schemas.microsoft.com/office/drawing/2014/main" id="{EDF4341A-48B5-432C-A4C2-09F48C0502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137583</xdr:rowOff>
    </xdr:to>
    <xdr:pic>
      <xdr:nvPicPr>
        <xdr:cNvPr id="2" name="Picture 1">
          <a:extLst>
            <a:ext uri="{FF2B5EF4-FFF2-40B4-BE49-F238E27FC236}">
              <a16:creationId xmlns:a16="http://schemas.microsoft.com/office/drawing/2014/main" id="{818EB058-0D35-47FE-8C90-F4CDA745C6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151387</xdr:rowOff>
    </xdr:to>
    <xdr:pic>
      <xdr:nvPicPr>
        <xdr:cNvPr id="2" name="Picture 1">
          <a:extLst>
            <a:ext uri="{FF2B5EF4-FFF2-40B4-BE49-F238E27FC236}">
              <a16:creationId xmlns:a16="http://schemas.microsoft.com/office/drawing/2014/main" id="{4EE2A9A1-D474-4FF7-A004-2DB0047DCD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603250</xdr:colOff>
      <xdr:row>2</xdr:row>
      <xdr:rowOff>137583</xdr:rowOff>
    </xdr:to>
    <xdr:pic>
      <xdr:nvPicPr>
        <xdr:cNvPr id="2" name="Picture 1">
          <a:extLst>
            <a:ext uri="{FF2B5EF4-FFF2-40B4-BE49-F238E27FC236}">
              <a16:creationId xmlns:a16="http://schemas.microsoft.com/office/drawing/2014/main" id="{E4B01DEB-013F-4474-972C-6576488117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250" cy="539750"/>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12-06T12:00:03.499"/>
    </inkml:context>
    <inkml:brush xml:id="br0">
      <inkml:brushProperty name="width" value="0.05" units="cm"/>
      <inkml:brushProperty name="height" value="0.05" units="cm"/>
    </inkml:brush>
  </inkml:definitions>
  <inkml:trace contextRef="#ctx0" brushRef="#br0">113 3 20903 0 0,'-112'-2'656'0'0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12-06T12:00:04.253"/>
    </inkml:context>
    <inkml:brush xml:id="br0">
      <inkml:brushProperty name="width" value="0.05" units="cm"/>
      <inkml:brushProperty name="height" value="0.05" units="cm"/>
    </inkml:brush>
  </inkml:definitions>
  <inkml:trace contextRef="#ctx0" brushRef="#br0">1 0 24447 0 0</inkml:trace>
</inkm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68DC39-911C-4290-BEB7-7185351E0D04}" name="Engineering2" displayName="Engineering2" ref="C11:S16" headerRowCount="0" totalsRowCount="1" headerRowDxfId="2559" dataDxfId="2558" totalsRowDxfId="2556" tableBorderDxfId="2557">
  <tableColumns count="17">
    <tableColumn id="1" xr3:uid="{65CB6E17-9FD0-43A2-86AD-D8FEA8944750}" name="Column1" headerRowDxfId="2555" dataDxfId="2554" totalsRowDxfId="2553"/>
    <tableColumn id="2" xr3:uid="{79BF75EA-869D-42A9-8D43-8F5894814BAB}" name="Column2" headerRowDxfId="2552" dataDxfId="2551" totalsRowDxfId="2550"/>
    <tableColumn id="3" xr3:uid="{B82233CD-41D6-44D7-BB84-708BA7454D04}" name="Column3" headerRowDxfId="2549" dataDxfId="2548" totalsRowDxfId="2547"/>
    <tableColumn id="4" xr3:uid="{CAD73BE1-D23D-43CF-A122-0EE3E461D5CB}" name="Column4" headerRowDxfId="2546" dataDxfId="2545" totalsRowDxfId="2544"/>
    <tableColumn id="5" xr3:uid="{8F408A4E-859A-49ED-89C8-AC54496789BD}" name="Column5" headerRowDxfId="2543" dataDxfId="2542" totalsRowDxfId="2541"/>
    <tableColumn id="6" xr3:uid="{12724CEA-7BCF-4253-84CF-4969E0D0ACBD}" name="Column6" headerRowDxfId="2540" dataDxfId="2539" totalsRowDxfId="2538"/>
    <tableColumn id="7" xr3:uid="{F277A817-0899-486A-8726-34921F354F92}" name="Column7" totalsRowFunction="sum" headerRowDxfId="2537" dataDxfId="2536" totalsRowDxfId="2535">
      <calculatedColumnFormula>J11+K11</calculatedColumnFormula>
    </tableColumn>
    <tableColumn id="8" xr3:uid="{68B85A84-98AD-48E5-BC5A-CB1A1B4E2BAC}" name="Column8" totalsRowFunction="sum" headerRowDxfId="2534" dataDxfId="2533" totalsRowDxfId="2532"/>
    <tableColumn id="9" xr3:uid="{9A9A40FA-73DF-4876-9104-3126D9373841}" name="Column9" totalsRowFunction="sum" headerRowDxfId="2531" dataDxfId="2530" totalsRowDxfId="2529"/>
    <tableColumn id="10" xr3:uid="{E5891DB2-B4D2-4D74-B837-4BAA5ED7313C}" name="Column10" totalsRowFunction="custom" headerRowDxfId="2528" dataDxfId="2527" totalsRowDxfId="2526" headerRowCellStyle="Percent" dataCellStyle="Percent">
      <calculatedColumnFormula>IFERROR(J11/I11,0)</calculatedColumnFormula>
      <totalsRowFormula>IFERROR(J16/I16,0)</totalsRowFormula>
    </tableColumn>
    <tableColumn id="11" xr3:uid="{04D847A6-9385-4128-BDD0-439715E0F28A}" name="Column11" totalsRowFunction="sum" headerRowDxfId="2525" dataDxfId="2524" totalsRowDxfId="2523">
      <calculatedColumnFormula>N11+O11</calculatedColumnFormula>
    </tableColumn>
    <tableColumn id="12" xr3:uid="{A2E17335-0013-4113-AB0D-2D53A677E0D2}" name="Column12" totalsRowFunction="sum" headerRowDxfId="2522" dataDxfId="2521" totalsRowDxfId="2520"/>
    <tableColumn id="13" xr3:uid="{DCFD8F4A-EAD1-4DBD-8AE3-90C84FD44724}" name="Column13" totalsRowFunction="sum" headerRowDxfId="2519" dataDxfId="2518" totalsRowDxfId="2517"/>
    <tableColumn id="14" xr3:uid="{25649E9F-D4CC-44F3-98E2-B23EE1801F42}" name="Column14" totalsRowFunction="custom" headerRowDxfId="2516" dataDxfId="2515" totalsRowDxfId="2514" headerRowCellStyle="Percent" dataCellStyle="Percent">
      <calculatedColumnFormula>IFERROR(N11/M11,0)</calculatedColumnFormula>
      <totalsRowFormula>IFERROR(N16/M16,0)</totalsRowFormula>
    </tableColumn>
    <tableColumn id="15" xr3:uid="{C5CDB5AA-0853-4BAB-91B2-6FE96AB0F5EC}" name="Column15" totalsRowFunction="sum" headerRowDxfId="2513" dataDxfId="2512" totalsRowDxfId="2511">
      <calculatedColumnFormula>R11+S11</calculatedColumnFormula>
    </tableColumn>
    <tableColumn id="16" xr3:uid="{CBB3601E-AC79-484A-A2E6-BFC66405FC75}" name="Column16" totalsRowFunction="sum" headerRowDxfId="2510" dataDxfId="2509" totalsRowDxfId="2508">
      <calculatedColumnFormula>'#1'!#REF!</calculatedColumnFormula>
    </tableColumn>
    <tableColumn id="17" xr3:uid="{86112A1A-75AF-4EE0-931A-A145A276FB60}" name="Column17" headerRowDxfId="2507" dataDxfId="2506" totalsRowDxfId="2505">
      <calculatedColumnFormula>'#1'!#REF!</calculatedColumnFormula>
    </tableColumn>
  </tableColumns>
  <tableStyleInfo name="TableStyleMedium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79DBF33-B6D6-4FBA-AB81-82F7A134D617}" name="Engineering68818712" displayName="Engineering68818712" ref="C73:S78" headerRowCount="0" totalsRowCount="1" headerRowDxfId="2064" dataDxfId="2063" totalsRowDxfId="2061" tableBorderDxfId="2062">
  <tableColumns count="17">
    <tableColumn id="1" xr3:uid="{1AC0FA38-8AB0-4EFC-ABF4-50E5923759A5}" name="Column1" headerRowDxfId="2060" dataDxfId="2059" totalsRowDxfId="2058"/>
    <tableColumn id="2" xr3:uid="{7A75370E-14FE-4398-9655-3F4CEB484D92}" name="Column2" headerRowDxfId="2057" dataDxfId="2056" totalsRowDxfId="2055"/>
    <tableColumn id="3" xr3:uid="{2F7D3826-0ADD-4A26-BF51-98EFA430553B}" name="Column3" headerRowDxfId="2054" dataDxfId="2053" totalsRowDxfId="2052"/>
    <tableColumn id="4" xr3:uid="{23BEB023-B27B-44E2-8C46-2FC567FBBB35}" name="Column4" headerRowDxfId="2051" dataDxfId="2050" totalsRowDxfId="2049"/>
    <tableColumn id="5" xr3:uid="{5003E3A3-DD78-4048-A744-F11723BA48E1}" name="Column5" headerRowDxfId="2048" dataDxfId="2047" totalsRowDxfId="2046"/>
    <tableColumn id="6" xr3:uid="{BA31FAEC-F3B9-4C6E-93F9-2EFF2948D909}" name="Column6" headerRowDxfId="2045" dataDxfId="2044" totalsRowDxfId="2043"/>
    <tableColumn id="7" xr3:uid="{908D095F-E935-415B-9D07-B67565608CB6}" name="Column7" totalsRowFunction="sum" headerRowDxfId="2042" dataDxfId="2041" totalsRowDxfId="2040">
      <calculatedColumnFormula>J75+K75</calculatedColumnFormula>
    </tableColumn>
    <tableColumn id="8" xr3:uid="{0645CE96-E4C3-4E77-9998-FC7B15A4C450}" name="Column8" totalsRowFunction="sum" headerRowDxfId="2039" dataDxfId="2038" totalsRowDxfId="2037">
      <calculatedColumnFormula>'#1'!J48</calculatedColumnFormula>
    </tableColumn>
    <tableColumn id="9" xr3:uid="{ECD055ED-44D2-4F4B-A612-2A82B8C8D91C}" name="Column9" totalsRowFunction="sum" headerRowDxfId="2036" dataDxfId="2035" totalsRowDxfId="2034">
      <calculatedColumnFormula>'#1'!K48</calculatedColumnFormula>
    </tableColumn>
    <tableColumn id="10" xr3:uid="{EC1D5A05-DAAC-462C-9105-AE8BA1418B2F}" name="Column10" totalsRowFunction="custom" headerRowDxfId="2033" dataDxfId="2032" totalsRowDxfId="2031" headerRowCellStyle="Percent" dataCellStyle="Percent">
      <calculatedColumnFormula>IFERROR(J75/I75,0)</calculatedColumnFormula>
      <totalsRowFormula>IFERROR(J78/I78,0)</totalsRowFormula>
    </tableColumn>
    <tableColumn id="11" xr3:uid="{50E4E982-8BD9-4BBE-A4F9-07005028C79C}" name="Column11" totalsRowFunction="sum" headerRowDxfId="2030" dataDxfId="2029" totalsRowDxfId="2028">
      <calculatedColumnFormula>N75+O75</calculatedColumnFormula>
    </tableColumn>
    <tableColumn id="12" xr3:uid="{B965C116-EAD3-4A25-94FA-C1CC07FB0EE2}" name="Column12" totalsRowFunction="sum" headerRowDxfId="2027" dataDxfId="2026" totalsRowDxfId="2025">
      <calculatedColumnFormula>'#1'!N48</calculatedColumnFormula>
    </tableColumn>
    <tableColumn id="13" xr3:uid="{45A46795-85E5-475E-A557-57D7CD7C378C}" name="Column13" totalsRowFunction="sum" headerRowDxfId="2024" dataDxfId="2023" totalsRowDxfId="2022">
      <calculatedColumnFormula>'#1'!O48</calculatedColumnFormula>
    </tableColumn>
    <tableColumn id="14" xr3:uid="{1E7C2A13-7659-4447-BABC-40357BE920BE}" name="Column14" totalsRowFunction="custom" headerRowDxfId="2021" dataDxfId="2020" totalsRowDxfId="2019" headerRowCellStyle="Percent" dataCellStyle="Percent" totalsRowCellStyle="Percent">
      <calculatedColumnFormula>IFERROR(N75/M75,0)</calculatedColumnFormula>
      <totalsRowFormula>IFERROR(N78/M78,0)</totalsRowFormula>
    </tableColumn>
    <tableColumn id="15" xr3:uid="{53177A8F-A03E-4195-8A78-F9892C58EE04}" name="Column15" totalsRowFunction="sum" headerRowDxfId="2018" dataDxfId="2017" totalsRowDxfId="2016">
      <calculatedColumnFormula>R75+S75</calculatedColumnFormula>
    </tableColumn>
    <tableColumn id="16" xr3:uid="{CBBF5106-587C-4FF9-B94A-D75477361A77}" name="Column16" totalsRowFunction="sum" headerRowDxfId="2015" dataDxfId="2014" totalsRowDxfId="2013">
      <calculatedColumnFormula>'#1'!R48</calculatedColumnFormula>
    </tableColumn>
    <tableColumn id="17" xr3:uid="{59551644-AEB9-482F-9D8E-81C4A3FEB294}" name="Column17" totalsRowFunction="sum" headerRowDxfId="2012" dataDxfId="2011" totalsRowDxfId="2010">
      <calculatedColumnFormula>'#1'!S48</calculatedColumnFormula>
    </tableColumn>
  </tableColumns>
  <tableStyleInfo name="TableStyleMedium2"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06A20A9-81D0-46A4-AB66-31D3F1866F8A}" name="Engineering68818813" displayName="Engineering68818813" ref="C80:S85" headerRowCount="0" totalsRowCount="1" headerRowDxfId="2009" dataDxfId="2008" totalsRowDxfId="2006" tableBorderDxfId="2007">
  <tableColumns count="17">
    <tableColumn id="1" xr3:uid="{E810FF9C-7647-47CA-953D-A38F72DB8F22}" name="Column1" headerRowDxfId="2005" dataDxfId="2004" totalsRowDxfId="2003"/>
    <tableColumn id="2" xr3:uid="{A484F2D3-B1E7-4CB6-8E90-85689D1C2846}" name="Column2" headerRowDxfId="2002" dataDxfId="2001" totalsRowDxfId="2000"/>
    <tableColumn id="3" xr3:uid="{03DF3969-C477-4C44-9BD1-FC9BCD0AF6F2}" name="Column3" headerRowDxfId="1999" dataDxfId="1998" totalsRowDxfId="1997"/>
    <tableColumn id="4" xr3:uid="{47D0E0AB-60D4-4BA7-A166-37AE482C3357}" name="Column4" headerRowDxfId="1996" dataDxfId="1995" totalsRowDxfId="1994"/>
    <tableColumn id="5" xr3:uid="{3B74CB69-5A66-4B11-9C9A-8CF0A31D4E47}" name="Column5" headerRowDxfId="1993" dataDxfId="1992" totalsRowDxfId="1991"/>
    <tableColumn id="6" xr3:uid="{C71777E1-DD59-4178-9C7A-356035A3CC2B}" name="Column6" headerRowDxfId="1990" dataDxfId="1989" totalsRowDxfId="1988"/>
    <tableColumn id="7" xr3:uid="{7E0CCC46-5376-488A-932C-516CBC3C7FD5}" name="Column7" totalsRowFunction="sum" headerRowDxfId="1987" dataDxfId="1986" totalsRowDxfId="1985">
      <calculatedColumnFormula>J82+K82</calculatedColumnFormula>
    </tableColumn>
    <tableColumn id="8" xr3:uid="{DD390092-4E0A-443E-BD95-18C7E1C297B9}" name="Column8" totalsRowFunction="sum" headerRowDxfId="1984" dataDxfId="1983" totalsRowDxfId="1982">
      <calculatedColumnFormula>'#1'!J55</calculatedColumnFormula>
    </tableColumn>
    <tableColumn id="9" xr3:uid="{8D3ACF21-9F37-4021-82C8-B503BCE0F14B}" name="Column9" totalsRowFunction="sum" headerRowDxfId="1981" dataDxfId="1980" totalsRowDxfId="1979">
      <calculatedColumnFormula>'#1'!K55</calculatedColumnFormula>
    </tableColumn>
    <tableColumn id="10" xr3:uid="{DEB816AC-1700-4CE6-A1BE-5DD8AAD3E240}" name="Column10" totalsRowFunction="custom" headerRowDxfId="1978" dataDxfId="1977" totalsRowDxfId="1976" headerRowCellStyle="Percent" dataCellStyle="Percent">
      <calculatedColumnFormula>IFERROR(J82/I82,0)</calculatedColumnFormula>
      <totalsRowFormula>IFERROR(J85/I85,0)</totalsRowFormula>
    </tableColumn>
    <tableColumn id="11" xr3:uid="{C29A8940-95B4-4813-B319-27DD7FD99222}" name="Column11" totalsRowFunction="sum" headerRowDxfId="1975" dataDxfId="1974" totalsRowDxfId="1973">
      <calculatedColumnFormula>N82+O82</calculatedColumnFormula>
    </tableColumn>
    <tableColumn id="12" xr3:uid="{B5CBD244-A06C-4F73-AC57-354F65D8692C}" name="Column12" totalsRowFunction="sum" headerRowDxfId="1972" dataDxfId="1971" totalsRowDxfId="1970">
      <calculatedColumnFormula>'#1'!N55</calculatedColumnFormula>
    </tableColumn>
    <tableColumn id="13" xr3:uid="{B7EE772B-25BD-464A-B8FE-FB32A761B262}" name="Column13" totalsRowFunction="sum" headerRowDxfId="1969" dataDxfId="1968" totalsRowDxfId="1967">
      <calculatedColumnFormula>'#1'!O55</calculatedColumnFormula>
    </tableColumn>
    <tableColumn id="14" xr3:uid="{322552FB-8148-45D6-B65C-B93365D1966E}" name="Column14" totalsRowFunction="custom" headerRowDxfId="1966" dataDxfId="1965" totalsRowDxfId="1964" headerRowCellStyle="Percent" dataCellStyle="Percent" totalsRowCellStyle="Percent">
      <calculatedColumnFormula>IFERROR(N82/M82,0)</calculatedColumnFormula>
      <totalsRowFormula>IFERROR(N85/M85,0)</totalsRowFormula>
    </tableColumn>
    <tableColumn id="15" xr3:uid="{70CEF16C-8C5E-4B56-8D9C-F54543EB136C}" name="Column15" totalsRowFunction="sum" headerRowDxfId="1963" dataDxfId="1962" totalsRowDxfId="1961">
      <calculatedColumnFormula>R82+S82</calculatedColumnFormula>
    </tableColumn>
    <tableColumn id="16" xr3:uid="{D9549A72-1CE2-428E-9968-187C9E772198}" name="Column16" totalsRowFunction="sum" headerRowDxfId="1960" dataDxfId="1959" totalsRowDxfId="1958">
      <calculatedColumnFormula>'#1'!R55</calculatedColumnFormula>
    </tableColumn>
    <tableColumn id="17" xr3:uid="{3739685A-24DC-4F15-A50E-202BCE3A033F}" name="Column17" totalsRowFunction="sum" headerRowDxfId="1957" dataDxfId="1956" totalsRowDxfId="1955">
      <calculatedColumnFormula>'#1'!S55</calculatedColumnFormula>
    </tableColumn>
  </tableColumns>
  <tableStyleInfo name="TableStyleMedium2"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BC7411C-AF7F-4922-9609-D66102CD529B}" name="Engineering6881888914" displayName="Engineering6881888914" ref="C87:S92" headerRowCount="0" totalsRowCount="1" headerRowDxfId="1954" dataDxfId="1953" totalsRowDxfId="1951" tableBorderDxfId="1952">
  <tableColumns count="17">
    <tableColumn id="1" xr3:uid="{D9BE10FC-04FF-40A8-B3D5-F53A0AD0F4FE}" name="Column1" headerRowDxfId="1950" dataDxfId="1949" totalsRowDxfId="1948"/>
    <tableColumn id="2" xr3:uid="{600170C3-F690-4550-9CC0-2A19C283DCCA}" name="Column2" headerRowDxfId="1947" dataDxfId="1946" totalsRowDxfId="1945"/>
    <tableColumn id="3" xr3:uid="{6B77926F-F0D2-4B02-BD8C-5B7F12882B33}" name="Column3" headerRowDxfId="1944" dataDxfId="1943" totalsRowDxfId="1942"/>
    <tableColumn id="4" xr3:uid="{AC0556A0-9FD1-4D1F-AB5C-E2FB85B8771B}" name="Column4" headerRowDxfId="1941" dataDxfId="1940" totalsRowDxfId="1939"/>
    <tableColumn id="5" xr3:uid="{9A3DC758-937D-474B-B389-49E708FD0FF2}" name="Column5" headerRowDxfId="1938" dataDxfId="1937" totalsRowDxfId="1936"/>
    <tableColumn id="6" xr3:uid="{B8CFEED6-20BE-4F75-AB20-791008747B7B}" name="Column6" headerRowDxfId="1935" dataDxfId="1934" totalsRowDxfId="1933"/>
    <tableColumn id="7" xr3:uid="{A2C97009-81F2-4F32-A677-6FA69804F75D}" name="Column7" totalsRowFunction="sum" headerRowDxfId="1932" dataDxfId="1931" totalsRowDxfId="1930">
      <calculatedColumnFormula>J89+K89</calculatedColumnFormula>
    </tableColumn>
    <tableColumn id="8" xr3:uid="{294FA7CC-EA1B-4AE4-B52C-B508B5963475}" name="Column8" totalsRowFunction="sum" headerRowDxfId="1929" dataDxfId="1928" totalsRowDxfId="1927">
      <calculatedColumnFormula>'#1'!J62</calculatedColumnFormula>
    </tableColumn>
    <tableColumn id="9" xr3:uid="{5EBCB09C-C999-4911-AF17-E7884C9BFFFB}" name="Column9" totalsRowFunction="sum" headerRowDxfId="1926" dataDxfId="1925" totalsRowDxfId="1924">
      <calculatedColumnFormula>'#1'!K62</calculatedColumnFormula>
    </tableColumn>
    <tableColumn id="10" xr3:uid="{426288EC-9DC1-4DAC-8521-F0000E3367A3}" name="Column10" totalsRowFunction="custom" headerRowDxfId="1923" dataDxfId="1922" totalsRowDxfId="1921" headerRowCellStyle="Percent" dataCellStyle="Percent">
      <calculatedColumnFormula>IFERROR(J89/I89,0)</calculatedColumnFormula>
      <totalsRowFormula>IFERROR(J92/I92,0)</totalsRowFormula>
    </tableColumn>
    <tableColumn id="11" xr3:uid="{C4F534C8-F8AF-4BFC-A9A9-D8C998402EE8}" name="Column11" totalsRowFunction="sum" headerRowDxfId="1920" dataDxfId="1919" totalsRowDxfId="1918">
      <calculatedColumnFormula>N89+O89</calculatedColumnFormula>
    </tableColumn>
    <tableColumn id="12" xr3:uid="{46717ABA-3BFC-46E0-A38C-FD7F57D1198D}" name="Column12" totalsRowFunction="sum" headerRowDxfId="1917" dataDxfId="1916" totalsRowDxfId="1915">
      <calculatedColumnFormula>'#1'!N62</calculatedColumnFormula>
    </tableColumn>
    <tableColumn id="13" xr3:uid="{D11D3A94-9C9E-482C-B622-7F8BBA0449C7}" name="Column13" totalsRowFunction="sum" headerRowDxfId="1914" dataDxfId="1913" totalsRowDxfId="1912">
      <calculatedColumnFormula>'#1'!O62</calculatedColumnFormula>
    </tableColumn>
    <tableColumn id="14" xr3:uid="{B5E2D658-A145-4790-A8AE-2104AF3A5B93}" name="Column14" totalsRowFunction="custom" headerRowDxfId="1911" dataDxfId="1910" totalsRowDxfId="1909" headerRowCellStyle="Percent" dataCellStyle="Percent" totalsRowCellStyle="Percent">
      <calculatedColumnFormula>IFERROR(N89/M89,0)</calculatedColumnFormula>
      <totalsRowFormula>IFERROR(N92/M92,0)</totalsRowFormula>
    </tableColumn>
    <tableColumn id="15" xr3:uid="{F32F3476-9106-4517-AA47-08E3360545D7}" name="Column15" totalsRowFunction="sum" headerRowDxfId="1908" dataDxfId="1907" totalsRowDxfId="1906">
      <calculatedColumnFormula>R89+S89</calculatedColumnFormula>
    </tableColumn>
    <tableColumn id="16" xr3:uid="{CC981A83-C44C-4A30-9586-FE7F363CC64B}" name="Column16" totalsRowFunction="sum" headerRowDxfId="1905" dataDxfId="1904" totalsRowDxfId="1903">
      <calculatedColumnFormula>'#1'!R62</calculatedColumnFormula>
    </tableColumn>
    <tableColumn id="17" xr3:uid="{BB4923BB-BAEF-435A-9FA8-B41F61CB3EC2}" name="Column17" totalsRowFunction="sum" headerRowDxfId="1902" dataDxfId="1901" totalsRowDxfId="1900">
      <calculatedColumnFormula>'#1'!S62</calculatedColumnFormula>
    </tableColumn>
  </tableColumns>
  <tableStyleInfo name="TableStyleMedium2"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E01F748-7AE8-4096-8D94-F3C1BC43E4B9}" name="Engineering6881889015" displayName="Engineering6881889015" ref="C94:S99" headerRowCount="0" totalsRowCount="1" headerRowDxfId="1899" dataDxfId="1898" totalsRowDxfId="1896" tableBorderDxfId="1897">
  <tableColumns count="17">
    <tableColumn id="1" xr3:uid="{BB5A299F-0501-490A-B147-3AA481B3FDA0}" name="Column1" headerRowDxfId="1895" dataDxfId="1894" totalsRowDxfId="1893"/>
    <tableColumn id="2" xr3:uid="{91D59786-9B9A-4D1C-AE8E-99091F35CB72}" name="Column2" headerRowDxfId="1892" dataDxfId="1891" totalsRowDxfId="1890"/>
    <tableColumn id="3" xr3:uid="{14302978-E82C-4800-9262-AFC35D1B686D}" name="Column3" headerRowDxfId="1889" dataDxfId="1888" totalsRowDxfId="1887"/>
    <tableColumn id="4" xr3:uid="{0389EA90-83BA-4125-8A4A-72138B6B5F72}" name="Column4" headerRowDxfId="1886" dataDxfId="1885" totalsRowDxfId="1884"/>
    <tableColumn id="5" xr3:uid="{C93CF035-CA83-4B49-B786-B909EA22E9EC}" name="Column5" headerRowDxfId="1883" dataDxfId="1882" totalsRowDxfId="1881"/>
    <tableColumn id="6" xr3:uid="{0432542D-A4F7-4D22-A784-66A643C3581A}" name="Column6" headerRowDxfId="1880" dataDxfId="1879" totalsRowDxfId="1878"/>
    <tableColumn id="7" xr3:uid="{E9F10CA2-EF74-4E2D-99E1-B9379239D495}" name="Column7" totalsRowFunction="sum" headerRowDxfId="1877" dataDxfId="1876" totalsRowDxfId="1875">
      <calculatedColumnFormula>J96+K96</calculatedColumnFormula>
    </tableColumn>
    <tableColumn id="8" xr3:uid="{D29CB1D8-750D-43F4-BC70-4FCCCE9116F9}" name="Column8" totalsRowFunction="sum" headerRowDxfId="1874" dataDxfId="1873" totalsRowDxfId="1872">
      <calculatedColumnFormula>'#1'!J69</calculatedColumnFormula>
    </tableColumn>
    <tableColumn id="9" xr3:uid="{AEF816E9-AC46-4224-A9F9-BF5E6428413E}" name="Column9" totalsRowFunction="sum" headerRowDxfId="1871" dataDxfId="1870" totalsRowDxfId="1869">
      <calculatedColumnFormula>'#1'!K69</calculatedColumnFormula>
    </tableColumn>
    <tableColumn id="10" xr3:uid="{362138BD-E303-4B85-A1D7-CD88577F55FF}" name="Column10" totalsRowFunction="custom" headerRowDxfId="1868" dataDxfId="1867" totalsRowDxfId="1866" headerRowCellStyle="Percent" dataCellStyle="Percent">
      <calculatedColumnFormula>IFERROR(J96/I96,0)</calculatedColumnFormula>
      <totalsRowFormula>IFERROR(J99/I99,0)</totalsRowFormula>
    </tableColumn>
    <tableColumn id="11" xr3:uid="{B0EAA12B-8E9B-4B4A-81F0-97B2030182A3}" name="Column11" totalsRowFunction="sum" headerRowDxfId="1865" dataDxfId="1864" totalsRowDxfId="1863">
      <calculatedColumnFormula>N96+O96</calculatedColumnFormula>
    </tableColumn>
    <tableColumn id="12" xr3:uid="{8663FC2A-A495-40FB-94F0-BBDDE9C57EB2}" name="Column12" totalsRowFunction="sum" headerRowDxfId="1862" dataDxfId="1861" totalsRowDxfId="1860">
      <calculatedColumnFormula>'#1'!N69</calculatedColumnFormula>
    </tableColumn>
    <tableColumn id="13" xr3:uid="{CD51CF9E-59DB-4921-98B9-A6403C237B4D}" name="Column13" totalsRowFunction="sum" headerRowDxfId="1859" dataDxfId="1858" totalsRowDxfId="1857">
      <calculatedColumnFormula>'#1'!O69</calculatedColumnFormula>
    </tableColumn>
    <tableColumn id="14" xr3:uid="{74CFCFEB-F19B-4F27-9384-B7068955D4F5}" name="Column14" totalsRowFunction="custom" headerRowDxfId="1856" dataDxfId="1855" totalsRowDxfId="1854" headerRowCellStyle="Percent" dataCellStyle="Percent">
      <calculatedColumnFormula>IFERROR(N96/M96,0)</calculatedColumnFormula>
      <totalsRowFormula>IFERROR(N99/M99,0)</totalsRowFormula>
    </tableColumn>
    <tableColumn id="15" xr3:uid="{743A4302-3C5D-4926-8049-C2FE0B938D1F}" name="Column15" totalsRowFunction="sum" headerRowDxfId="1853" dataDxfId="1852" totalsRowDxfId="1851">
      <calculatedColumnFormula>R96+S96</calculatedColumnFormula>
    </tableColumn>
    <tableColumn id="16" xr3:uid="{1DDAD8AB-9505-4B4E-9870-6C2402B6BA6B}" name="Column16" totalsRowFunction="sum" headerRowDxfId="1850" dataDxfId="1849" totalsRowDxfId="1848">
      <calculatedColumnFormula>'#1'!R69</calculatedColumnFormula>
    </tableColumn>
    <tableColumn id="17" xr3:uid="{A4BF97CA-A70D-4A1E-BF69-C3B5857CD062}" name="Column17" totalsRowFunction="sum" headerRowDxfId="1847" dataDxfId="1846" totalsRowDxfId="1845">
      <calculatedColumnFormula>'#1'!S69</calculatedColumnFormula>
    </tableColumn>
  </tableColumns>
  <tableStyleInfo name="TableStyleMedium2"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8B70D37-3C2A-4B91-92C9-D7A5143AFA3F}" name="Engineering6881889116" displayName="Engineering6881889116" ref="C101:S106" headerRowCount="0" totalsRowCount="1" headerRowDxfId="1844" dataDxfId="1843" totalsRowDxfId="1841" tableBorderDxfId="1842">
  <tableColumns count="17">
    <tableColumn id="1" xr3:uid="{1CB3814C-D06F-4865-BA76-B0ADC264B365}" name="Column1" headerRowDxfId="1840" dataDxfId="1839" totalsRowDxfId="1838"/>
    <tableColumn id="2" xr3:uid="{E74D4662-828F-4138-8A6C-ED1B15B93EFA}" name="Column2" headerRowDxfId="1837" dataDxfId="1836" totalsRowDxfId="1835"/>
    <tableColumn id="3" xr3:uid="{6A67E919-C54B-42E2-AE90-22D6DB29DC53}" name="Column3" headerRowDxfId="1834" dataDxfId="1833" totalsRowDxfId="1832"/>
    <tableColumn id="4" xr3:uid="{3997AA17-02E8-492E-B72F-EB433A98F7B1}" name="Column4" headerRowDxfId="1831" dataDxfId="1830" totalsRowDxfId="1829"/>
    <tableColumn id="5" xr3:uid="{B0860C1E-1BEB-45FD-B1B3-7B3AD39F5281}" name="Column5" headerRowDxfId="1828" dataDxfId="1827" totalsRowDxfId="1826"/>
    <tableColumn id="6" xr3:uid="{AAA3FC73-9601-4DBD-B9DA-B5C2A779C02D}" name="Column6" headerRowDxfId="1825" dataDxfId="1824" totalsRowDxfId="1823"/>
    <tableColumn id="7" xr3:uid="{37B5CF42-0A87-4C0B-8377-23514AC75C63}" name="Column7" totalsRowFunction="sum" headerRowDxfId="1822" dataDxfId="1821" totalsRowDxfId="1820">
      <calculatedColumnFormula>J103+K103</calculatedColumnFormula>
    </tableColumn>
    <tableColumn id="8" xr3:uid="{2555010F-8BFD-4D45-8862-9B65E5369A93}" name="Column8" totalsRowFunction="sum" headerRowDxfId="1819" dataDxfId="1818" totalsRowDxfId="1817">
      <calculatedColumnFormula>'#1'!J76</calculatedColumnFormula>
    </tableColumn>
    <tableColumn id="9" xr3:uid="{8F4B2B2A-D388-4C3F-870F-1207F5642C1C}" name="Column9" totalsRowFunction="sum" headerRowDxfId="1816" dataDxfId="1815" totalsRowDxfId="1814">
      <calculatedColumnFormula>'#1'!K76</calculatedColumnFormula>
    </tableColumn>
    <tableColumn id="10" xr3:uid="{E2850D00-4CD2-4BCA-BBB9-7F3E5520108B}" name="Column10" totalsRowFunction="custom" headerRowDxfId="1813" dataDxfId="1812" totalsRowDxfId="1811" headerRowCellStyle="Percent" dataCellStyle="Percent">
      <calculatedColumnFormula>IFERROR(J103/I103,0)</calculatedColumnFormula>
      <totalsRowFormula>IFERROR(J106/I106,0)</totalsRowFormula>
    </tableColumn>
    <tableColumn id="11" xr3:uid="{7B07CD40-77B5-449D-ACF8-69C97D7D6A31}" name="Column11" totalsRowFunction="sum" headerRowDxfId="1810" dataDxfId="1809" totalsRowDxfId="1808">
      <calculatedColumnFormula>N103+O103</calculatedColumnFormula>
    </tableColumn>
    <tableColumn id="12" xr3:uid="{C97F2FF5-1123-47F9-B614-C6ABF448215F}" name="Column12" totalsRowFunction="sum" headerRowDxfId="1807" dataDxfId="1806" totalsRowDxfId="1805">
      <calculatedColumnFormula>'#1'!N76</calculatedColumnFormula>
    </tableColumn>
    <tableColumn id="13" xr3:uid="{F0604F25-8730-45A7-AC6E-55D923BB048E}" name="Column13" totalsRowFunction="sum" headerRowDxfId="1804" dataDxfId="1803" totalsRowDxfId="1802">
      <calculatedColumnFormula>'#1'!O76</calculatedColumnFormula>
    </tableColumn>
    <tableColumn id="14" xr3:uid="{E933F26B-48A3-4F0D-B573-6A98B9CC6E69}" name="Column14" totalsRowFunction="custom" headerRowDxfId="1801" dataDxfId="1800" totalsRowDxfId="1799" headerRowCellStyle="Percent" dataCellStyle="Percent">
      <calculatedColumnFormula>IFERROR(N103/M103,0)</calculatedColumnFormula>
      <totalsRowFormula>IFERROR(N106/M106,0)</totalsRowFormula>
    </tableColumn>
    <tableColumn id="15" xr3:uid="{EB20E3E7-8D6E-4B35-B0FE-35F037CC1D9D}" name="Column15" totalsRowFunction="sum" headerRowDxfId="1798" dataDxfId="1797" totalsRowDxfId="1796">
      <calculatedColumnFormula>R103+S103</calculatedColumnFormula>
    </tableColumn>
    <tableColumn id="16" xr3:uid="{157CEC5C-C928-48E7-B7BC-7436A71553E2}" name="Column16" totalsRowFunction="sum" headerRowDxfId="1795" dataDxfId="1794" totalsRowDxfId="1793">
      <calculatedColumnFormula>'#1'!R76</calculatedColumnFormula>
    </tableColumn>
    <tableColumn id="17" xr3:uid="{4ED39295-0880-4CBD-B03E-1A67633E4331}" name="Column17" totalsRowFunction="sum" headerRowDxfId="1792" dataDxfId="1791" totalsRowDxfId="1790">
      <calculatedColumnFormula>'#1'!S76</calculatedColumnFormula>
    </tableColumn>
  </tableColumns>
  <tableStyleInfo name="TableStyleMedium2"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41B00DA-8996-43F4-90AD-C7BD6AA64AEF}" name="Engineering6881889217" displayName="Engineering6881889217" ref="C108:S113" headerRowCount="0" totalsRowCount="1" headerRowDxfId="1789" dataDxfId="1788" totalsRowDxfId="1786" tableBorderDxfId="1787">
  <tableColumns count="17">
    <tableColumn id="1" xr3:uid="{369D1FA0-EC97-403E-89E1-DFD24690C1A3}" name="Column1" headerRowDxfId="1785" dataDxfId="1784" totalsRowDxfId="1783"/>
    <tableColumn id="2" xr3:uid="{24DE3B83-B3D3-4A5E-8C57-3BA31ED69A9C}" name="Column2" headerRowDxfId="1782" dataDxfId="1781" totalsRowDxfId="1780"/>
    <tableColumn id="3" xr3:uid="{E49417EB-87F9-4FFD-85C0-90054CC5A40B}" name="Column3" headerRowDxfId="1779" dataDxfId="1778" totalsRowDxfId="1777"/>
    <tableColumn id="4" xr3:uid="{DADD7FE0-EACE-4A39-9EC4-4B9AD4373EF4}" name="Column4" headerRowDxfId="1776" dataDxfId="1775" totalsRowDxfId="1774"/>
    <tableColumn id="5" xr3:uid="{B9AC7149-0B5A-415E-A12A-C593CDE7562B}" name="Column5" headerRowDxfId="1773" dataDxfId="1772" totalsRowDxfId="1771"/>
    <tableColumn id="6" xr3:uid="{71ABCDCB-F8F3-4C5C-80DE-A617EC4EBF0B}" name="Column6" headerRowDxfId="1770" dataDxfId="1769" totalsRowDxfId="1768"/>
    <tableColumn id="7" xr3:uid="{23520412-C05C-400F-AFEF-A96967538D96}" name="Column7" totalsRowFunction="sum" headerRowDxfId="1767" dataDxfId="1766" totalsRowDxfId="1765">
      <calculatedColumnFormula>J110+K110</calculatedColumnFormula>
    </tableColumn>
    <tableColumn id="8" xr3:uid="{48E81DD1-5803-4E43-8BAA-F0615E43B365}" name="Column8" totalsRowFunction="sum" headerRowDxfId="1764" dataDxfId="1763" totalsRowDxfId="1762">
      <calculatedColumnFormula>'#1'!J83</calculatedColumnFormula>
    </tableColumn>
    <tableColumn id="9" xr3:uid="{81030D06-D83C-4200-83A1-AF59C124B02F}" name="Column9" totalsRowFunction="sum" headerRowDxfId="1761" dataDxfId="1760" totalsRowDxfId="1759">
      <calculatedColumnFormula>'#1'!K83</calculatedColumnFormula>
    </tableColumn>
    <tableColumn id="10" xr3:uid="{EBBFA89C-5233-4F8E-AA7D-B2CD95832DC4}" name="Column10" totalsRowFunction="custom" headerRowDxfId="1758" dataDxfId="1757" totalsRowDxfId="1756" headerRowCellStyle="Percent" dataCellStyle="Percent">
      <calculatedColumnFormula>IFERROR(J110/I110,0)</calculatedColumnFormula>
      <totalsRowFormula>IFERROR(J113/I113,0)</totalsRowFormula>
    </tableColumn>
    <tableColumn id="11" xr3:uid="{641903EF-D9F1-4A5F-9E91-09733E4410A8}" name="Column11" totalsRowFunction="sum" headerRowDxfId="1755" dataDxfId="1754" totalsRowDxfId="1753">
      <calculatedColumnFormula>N110+O110</calculatedColumnFormula>
    </tableColumn>
    <tableColumn id="12" xr3:uid="{EF8E8148-1018-49BA-940F-8582E3BF3723}" name="Column12" totalsRowFunction="sum" headerRowDxfId="1752" dataDxfId="1751" totalsRowDxfId="1750">
      <calculatedColumnFormula>'#1'!N83</calculatedColumnFormula>
    </tableColumn>
    <tableColumn id="13" xr3:uid="{363E1DBF-A418-40AE-B75E-C51D822DAF73}" name="Column13" totalsRowFunction="sum" headerRowDxfId="1749" dataDxfId="1748" totalsRowDxfId="1747">
      <calculatedColumnFormula>'#1'!O83</calculatedColumnFormula>
    </tableColumn>
    <tableColumn id="14" xr3:uid="{A23DCB20-48BF-446A-A795-BBA5509BF0A3}" name="Column14" totalsRowFunction="custom" headerRowDxfId="1746" dataDxfId="1745" totalsRowDxfId="1744" headerRowCellStyle="Percent" dataCellStyle="Percent" totalsRowCellStyle="Percent">
      <calculatedColumnFormula>IFERROR(N110/M110,0)</calculatedColumnFormula>
      <totalsRowFormula>IFERROR(N113/M113,0)</totalsRowFormula>
    </tableColumn>
    <tableColumn id="15" xr3:uid="{5910BC7F-C04A-4916-AADC-07ECE1F0796F}" name="Column15" totalsRowFunction="sum" headerRowDxfId="1743" dataDxfId="1742" totalsRowDxfId="1741">
      <calculatedColumnFormula>R110+S110</calculatedColumnFormula>
    </tableColumn>
    <tableColumn id="16" xr3:uid="{BABFFBFD-9301-442F-9ABE-F7A694610B3A}" name="Column16" totalsRowFunction="sum" headerRowDxfId="1740" dataDxfId="1739" totalsRowDxfId="1738">
      <calculatedColumnFormula>'#1'!R83</calculatedColumnFormula>
    </tableColumn>
    <tableColumn id="17" xr3:uid="{96DEAD5E-1D13-452A-93B4-6E4CB68D48E9}" name="Column17" totalsRowFunction="sum" headerRowDxfId="1737" dataDxfId="1736" totalsRowDxfId="1735">
      <calculatedColumnFormula>'#1'!S83</calculatedColumnFormula>
    </tableColumn>
  </tableColumns>
  <tableStyleInfo name="TableStyleMedium2"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EEB8265-3830-4F47-ACEF-9B52C8B57C63}" name="Engineering688188929318" displayName="Engineering688188929318" ref="C115:S120" headerRowCount="0" totalsRowCount="1" headerRowDxfId="1734" dataDxfId="1733" totalsRowDxfId="1731" tableBorderDxfId="1732">
  <tableColumns count="17">
    <tableColumn id="1" xr3:uid="{C016B1A5-F6D5-47C7-872B-012B4FFAD395}" name="Column1" headerRowDxfId="1730" dataDxfId="1729" totalsRowDxfId="1728"/>
    <tableColumn id="2" xr3:uid="{544426DC-6C84-4A7E-8CC6-04B2F2FBD7D2}" name="Column2" headerRowDxfId="1727" dataDxfId="1726" totalsRowDxfId="1725"/>
    <tableColumn id="3" xr3:uid="{090CBD66-5FDF-43B8-AE4B-2B0C799CA6AE}" name="Column3" headerRowDxfId="1724" dataDxfId="1723" totalsRowDxfId="1722"/>
    <tableColumn id="4" xr3:uid="{86F0AB23-A25C-4ABC-95EF-2E955B721BC3}" name="Column4" headerRowDxfId="1721" dataDxfId="1720" totalsRowDxfId="1719"/>
    <tableColumn id="5" xr3:uid="{FDF7048B-44B4-4357-854B-1F2B5BC513FC}" name="Column5" headerRowDxfId="1718" dataDxfId="1717" totalsRowDxfId="1716"/>
    <tableColumn id="6" xr3:uid="{8F05B82C-4D8D-4433-A2C4-1D7C15E2A927}" name="Column6" headerRowDxfId="1715" dataDxfId="1714" totalsRowDxfId="1713"/>
    <tableColumn id="7" xr3:uid="{D2B36942-82E4-4172-BEAA-A1E1B56EDD95}" name="Column7" totalsRowFunction="sum" headerRowDxfId="1712" dataDxfId="1711" totalsRowDxfId="1710">
      <calculatedColumnFormula>J117+K117</calculatedColumnFormula>
    </tableColumn>
    <tableColumn id="8" xr3:uid="{7AD99144-03CA-48E6-8162-D72148DC3E0A}" name="Column8" totalsRowFunction="sum" headerRowDxfId="1709" dataDxfId="1708" totalsRowDxfId="1707">
      <calculatedColumnFormula>'#1'!J90</calculatedColumnFormula>
    </tableColumn>
    <tableColumn id="9" xr3:uid="{DB00F7D0-8E20-4938-89E6-5FF4DFA686FB}" name="Column9" totalsRowFunction="sum" headerRowDxfId="1706" dataDxfId="1705" totalsRowDxfId="1704">
      <calculatedColumnFormula>'#1'!K90</calculatedColumnFormula>
    </tableColumn>
    <tableColumn id="10" xr3:uid="{36094DA6-D744-40AE-83FB-5536E7695A2E}" name="Column10" totalsRowFunction="custom" headerRowDxfId="1703" dataDxfId="1702" totalsRowDxfId="1701" headerRowCellStyle="Percent" dataCellStyle="Percent">
      <calculatedColumnFormula>IFERROR(J117/I117,0)</calculatedColumnFormula>
      <totalsRowFormula>IFERROR(J120/I120,0)</totalsRowFormula>
    </tableColumn>
    <tableColumn id="11" xr3:uid="{8DEC7A6D-B01C-4092-B937-EB2A83C25CDD}" name="Column11" totalsRowFunction="sum" headerRowDxfId="1700" dataDxfId="1699" totalsRowDxfId="1698">
      <calculatedColumnFormula>N117+O117</calculatedColumnFormula>
    </tableColumn>
    <tableColumn id="12" xr3:uid="{687E0A41-7EC4-45CB-9F06-8541C3A13498}" name="Column12" totalsRowFunction="sum" headerRowDxfId="1697" dataDxfId="1696" totalsRowDxfId="1695">
      <calculatedColumnFormula>'#1'!N90</calculatedColumnFormula>
    </tableColumn>
    <tableColumn id="13" xr3:uid="{78CFCE07-296E-47A5-95FD-E499C803A234}" name="Column13" totalsRowFunction="sum" headerRowDxfId="1694" dataDxfId="1693" totalsRowDxfId="1692">
      <calculatedColumnFormula>'#1'!O90</calculatedColumnFormula>
    </tableColumn>
    <tableColumn id="14" xr3:uid="{A548E753-3EDF-437A-8A25-BF7DD55D8899}" name="Column14" totalsRowFunction="custom" headerRowDxfId="1691" dataDxfId="1690" totalsRowDxfId="1689" headerRowCellStyle="Percent" dataCellStyle="Percent" totalsRowCellStyle="Percent">
      <calculatedColumnFormula>IFERROR(N117/M117,0)</calculatedColumnFormula>
      <totalsRowFormula>IFERROR(N120/M120,0)</totalsRowFormula>
    </tableColumn>
    <tableColumn id="15" xr3:uid="{0FBB6548-87E5-4CE9-B699-F3DABCA00BB2}" name="Column15" totalsRowFunction="sum" headerRowDxfId="1688" dataDxfId="1687" totalsRowDxfId="1686">
      <calculatedColumnFormula>R117+S117</calculatedColumnFormula>
    </tableColumn>
    <tableColumn id="16" xr3:uid="{A6836022-C31E-4BE3-8288-DB5702BFF949}" name="Column16" totalsRowFunction="sum" headerRowDxfId="1685" dataDxfId="1684" totalsRowDxfId="1683">
      <calculatedColumnFormula>'#1'!R90</calculatedColumnFormula>
    </tableColumn>
    <tableColumn id="17" xr3:uid="{4B2846CC-70B2-4543-83EF-2D70E65C15C4}" name="Column17" totalsRowFunction="sum" headerRowDxfId="1682" dataDxfId="1681" totalsRowDxfId="1680">
      <calculatedColumnFormula>'#1'!S90</calculatedColumnFormula>
    </tableColumn>
  </tableColumns>
  <tableStyleInfo name="TableStyleMedium2"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9BC8F69-8E7D-437E-B6A0-12E69CFB5D72}" name="Engineering688188929519" displayName="Engineering688188929519" ref="C122:S127" headerRowCount="0" totalsRowCount="1" headerRowDxfId="1679" dataDxfId="1678" totalsRowDxfId="1676" tableBorderDxfId="1677">
  <tableColumns count="17">
    <tableColumn id="1" xr3:uid="{EB950728-E9C0-4E7E-8BE8-F2CB5ED3D4CC}" name="Column1" headerRowDxfId="1675" dataDxfId="1674" totalsRowDxfId="1673"/>
    <tableColumn id="2" xr3:uid="{6BF045BE-96A2-4367-B71D-62F96D2FF2F2}" name="Column2" headerRowDxfId="1672" dataDxfId="1671" totalsRowDxfId="1670"/>
    <tableColumn id="3" xr3:uid="{0AFF3AFE-8DD3-4400-AC99-64C12AECD70F}" name="Column3" headerRowDxfId="1669" dataDxfId="1668" totalsRowDxfId="1667"/>
    <tableColumn id="4" xr3:uid="{7E392082-1F4F-4879-A482-2764BC3D829C}" name="Column4" headerRowDxfId="1666" dataDxfId="1665" totalsRowDxfId="1664"/>
    <tableColumn id="5" xr3:uid="{D2AE78BD-3EDB-4E31-B192-E063604192A9}" name="Column5" headerRowDxfId="1663" dataDxfId="1662" totalsRowDxfId="1661"/>
    <tableColumn id="6" xr3:uid="{C941102F-1989-4028-8F35-D7BD79C07B8F}" name="Column6" headerRowDxfId="1660" dataDxfId="1659" totalsRowDxfId="1658"/>
    <tableColumn id="7" xr3:uid="{5239D283-13B8-4FF3-9CEF-1F344A9A46EE}" name="Column7" totalsRowFunction="sum" headerRowDxfId="1657" dataDxfId="1656" totalsRowDxfId="1655">
      <calculatedColumnFormula>J124+K124</calculatedColumnFormula>
    </tableColumn>
    <tableColumn id="8" xr3:uid="{A7766103-DD61-4743-AD8D-026C7553C430}" name="Column8" totalsRowFunction="sum" headerRowDxfId="1654" dataDxfId="1653" totalsRowDxfId="1652">
      <calculatedColumnFormula>'#1'!J97</calculatedColumnFormula>
    </tableColumn>
    <tableColumn id="9" xr3:uid="{A6EAFFC2-1967-4FE6-9523-972B29D482E9}" name="Column9" totalsRowFunction="sum" headerRowDxfId="1651" dataDxfId="1650" totalsRowDxfId="1649">
      <calculatedColumnFormula>'#1'!K97</calculatedColumnFormula>
    </tableColumn>
    <tableColumn id="10" xr3:uid="{5695348C-3EAE-42AE-B4A6-A2698C8A593A}" name="Column10" totalsRowFunction="custom" headerRowDxfId="1648" dataDxfId="1647" totalsRowDxfId="1646" headerRowCellStyle="Percent" dataCellStyle="Percent">
      <calculatedColumnFormula>IFERROR(J124/I124,0)</calculatedColumnFormula>
      <totalsRowFormula>IFERROR(J127/I127,0)</totalsRowFormula>
    </tableColumn>
    <tableColumn id="11" xr3:uid="{7466B135-6C8F-4C14-BEDF-44561307CB1B}" name="Column11" totalsRowFunction="sum" headerRowDxfId="1645" dataDxfId="1644" totalsRowDxfId="1643">
      <calculatedColumnFormula>N124+O124</calculatedColumnFormula>
    </tableColumn>
    <tableColumn id="12" xr3:uid="{223B5629-DC24-43A0-9C58-0DDB2B35CFD1}" name="Column12" totalsRowFunction="sum" headerRowDxfId="1642" dataDxfId="1641" totalsRowDxfId="1640">
      <calculatedColumnFormula>'#1'!N97</calculatedColumnFormula>
    </tableColumn>
    <tableColumn id="13" xr3:uid="{4824EE6D-FA26-40A4-A17A-25F97E5C7913}" name="Column13" totalsRowFunction="sum" headerRowDxfId="1639" dataDxfId="1638" totalsRowDxfId="1637">
      <calculatedColumnFormula>'#1'!O97</calculatedColumnFormula>
    </tableColumn>
    <tableColumn id="14" xr3:uid="{3F64D369-4D0A-4379-9E10-EEACB14088AD}" name="Column14" totalsRowFunction="custom" headerRowDxfId="1636" dataDxfId="1635" totalsRowDxfId="1634" headerRowCellStyle="Percent" dataCellStyle="Percent" totalsRowCellStyle="Percent">
      <calculatedColumnFormula>IFERROR(N124/M124,0)</calculatedColumnFormula>
      <totalsRowFormula>IFERROR(N127/M127,0)</totalsRowFormula>
    </tableColumn>
    <tableColumn id="15" xr3:uid="{0BCD4784-3611-492C-A618-7D63875A3B09}" name="Column15" totalsRowFunction="sum" headerRowDxfId="1633" dataDxfId="1632" totalsRowDxfId="1631">
      <calculatedColumnFormula>R124+S124</calculatedColumnFormula>
    </tableColumn>
    <tableColumn id="16" xr3:uid="{E7E7C802-B492-4CBE-8B43-8E844560EB39}" name="Column16" totalsRowFunction="sum" headerRowDxfId="1630" dataDxfId="1629" totalsRowDxfId="1628">
      <calculatedColumnFormula>'#1'!R97</calculatedColumnFormula>
    </tableColumn>
    <tableColumn id="17" xr3:uid="{ABE8CD91-6983-4007-9BD8-DE9819C64178}" name="Column17" totalsRowFunction="sum" headerRowDxfId="1627" dataDxfId="1626" totalsRowDxfId="1625">
      <calculatedColumnFormula>'#1'!S97</calculatedColumnFormula>
    </tableColumn>
  </tableColumns>
  <tableStyleInfo name="TableStyleMedium2"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9C744EC-092B-4D26-A90B-B58CF48523C2}" name="Engineering688188929620" displayName="Engineering688188929620" ref="C129:S134" headerRowCount="0" totalsRowCount="1" headerRowDxfId="1624" dataDxfId="1623" totalsRowDxfId="1621" tableBorderDxfId="1622">
  <tableColumns count="17">
    <tableColumn id="1" xr3:uid="{C45EF226-B89A-428C-9C4C-7638330A0A2D}" name="Column1" headerRowDxfId="1620" dataDxfId="1619" totalsRowDxfId="1618"/>
    <tableColumn id="2" xr3:uid="{52883996-AC24-4C4D-8150-0416F78DFC61}" name="Column2" headerRowDxfId="1617" dataDxfId="1616" totalsRowDxfId="1615"/>
    <tableColumn id="3" xr3:uid="{101B065D-F871-45F5-97FF-B6C71D442E76}" name="Column3" headerRowDxfId="1614" dataDxfId="1613" totalsRowDxfId="1612"/>
    <tableColumn id="4" xr3:uid="{3A5BBDE5-6AC9-40E4-BE81-09E7074CE6F9}" name="Column4" headerRowDxfId="1611" dataDxfId="1610" totalsRowDxfId="1609"/>
    <tableColumn id="5" xr3:uid="{941CC2AA-8EAD-488F-9D06-0B13F30B7446}" name="Column5" headerRowDxfId="1608" dataDxfId="1607" totalsRowDxfId="1606"/>
    <tableColumn id="6" xr3:uid="{285C217F-7038-47E8-9EAF-0F7751A6CFB1}" name="Column6" headerRowDxfId="1605" dataDxfId="1604" totalsRowDxfId="1603"/>
    <tableColumn id="7" xr3:uid="{613334D0-C51A-4B73-8D4B-E35182EF2AFD}" name="Column7" totalsRowFunction="sum" headerRowDxfId="1602" dataDxfId="1601" totalsRowDxfId="1600">
      <calculatedColumnFormula>J131+K131</calculatedColumnFormula>
    </tableColumn>
    <tableColumn id="8" xr3:uid="{7427FCF1-5DFE-46D0-970D-7F3BC898E126}" name="Column8" totalsRowFunction="sum" headerRowDxfId="1599" dataDxfId="1598" totalsRowDxfId="1597">
      <calculatedColumnFormula>'#1'!J104</calculatedColumnFormula>
    </tableColumn>
    <tableColumn id="9" xr3:uid="{9293710F-9654-47E7-99E1-93D8C8EB0B94}" name="Column9" totalsRowFunction="sum" headerRowDxfId="1596" dataDxfId="1595" totalsRowDxfId="1594">
      <calculatedColumnFormula>'#1'!K104</calculatedColumnFormula>
    </tableColumn>
    <tableColumn id="10" xr3:uid="{273055DD-7D07-468E-ACCE-4FC7501F4328}" name="Column10" totalsRowFunction="custom" headerRowDxfId="1593" dataDxfId="1592" totalsRowDxfId="1591" headerRowCellStyle="Percent" dataCellStyle="Percent">
      <calculatedColumnFormula>IFERROR(J131/I131,0)</calculatedColumnFormula>
      <totalsRowFormula>IFERROR(J134/I134,0)</totalsRowFormula>
    </tableColumn>
    <tableColumn id="11" xr3:uid="{35660279-C111-4575-A3CC-3539CD46E7C1}" name="Column11" totalsRowFunction="sum" headerRowDxfId="1590" dataDxfId="1589" totalsRowDxfId="1588">
      <calculatedColumnFormula>N131+O131</calculatedColumnFormula>
    </tableColumn>
    <tableColumn id="12" xr3:uid="{0FE5D5EB-F710-4348-A956-EA3D4ED3B3E3}" name="Column12" totalsRowFunction="sum" headerRowDxfId="1587" dataDxfId="1586" totalsRowDxfId="1585">
      <calculatedColumnFormula>'#1'!N104</calculatedColumnFormula>
    </tableColumn>
    <tableColumn id="13" xr3:uid="{E3DF9DBF-AE50-4EB6-9205-6BF9F3DF0B4D}" name="Column13" totalsRowFunction="sum" headerRowDxfId="1584" dataDxfId="1583" totalsRowDxfId="1582">
      <calculatedColumnFormula>'#1'!O104</calculatedColumnFormula>
    </tableColumn>
    <tableColumn id="14" xr3:uid="{1F4E2BF5-7629-4743-AB2C-90E59F4DCC12}" name="Column14" totalsRowFunction="custom" headerRowDxfId="1581" dataDxfId="1580" totalsRowDxfId="1579" headerRowCellStyle="Percent" dataCellStyle="Percent">
      <calculatedColumnFormula>IFERROR(N131/M131,0)</calculatedColumnFormula>
      <totalsRowFormula>IFERROR(N134/M134,0)</totalsRowFormula>
    </tableColumn>
    <tableColumn id="15" xr3:uid="{41859F8C-2A3A-4181-B04D-C2D2E5A7BAB5}" name="Column15" totalsRowFunction="sum" headerRowDxfId="1578" dataDxfId="1577" totalsRowDxfId="1576">
      <calculatedColumnFormula>R131+S131</calculatedColumnFormula>
    </tableColumn>
    <tableColumn id="16" xr3:uid="{4C865DCC-6ABF-47D7-9EFC-8905047AF0CD}" name="Column16" totalsRowFunction="sum" headerRowDxfId="1575" dataDxfId="1574" totalsRowDxfId="1573">
      <calculatedColumnFormula>'#1'!R104</calculatedColumnFormula>
    </tableColumn>
    <tableColumn id="17" xr3:uid="{BC2EF264-5673-4AAC-8F72-2EFD13560262}" name="Column17" totalsRowFunction="sum" headerRowDxfId="1572" dataDxfId="1571" totalsRowDxfId="1570">
      <calculatedColumnFormula>'#1'!S104</calculatedColumnFormula>
    </tableColumn>
  </tableColumns>
  <tableStyleInfo name="TableStyleMedium2"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4BC84AB-5A01-4C89-BF50-F424A8F0904C}" name="Eng_21" displayName="Eng_21" ref="A11:Z13" headerRowCount="0" totalsRowCount="1" headerRowDxfId="1569" dataDxfId="1568" totalsRowDxfId="1566" tableBorderDxfId="1567">
  <tableColumns count="26">
    <tableColumn id="1" xr3:uid="{89C56A92-8B02-4A9A-9EB7-438DAABE0176}" name="Column1" headerRowDxfId="1565" dataDxfId="1564" totalsRowDxfId="1563"/>
    <tableColumn id="2" xr3:uid="{52F9E5C0-17B1-4232-AFDF-8D6050461093}" name="Column2" headerRowDxfId="1562" dataDxfId="1561" totalsRowDxfId="1560"/>
    <tableColumn id="3" xr3:uid="{BFF76E1E-3378-4585-8E01-F9F66604B4D3}" name="Column3" headerRowDxfId="1559" dataDxfId="1558" totalsRowDxfId="1557"/>
    <tableColumn id="4" xr3:uid="{7DECE2A1-2EFA-473D-80C3-2FDF7C2FB249}" name="Column4" totalsRowLabel="SubTotal" headerRowDxfId="1556" dataDxfId="1555" totalsRowDxfId="1554"/>
    <tableColumn id="5" xr3:uid="{6DC61512-CD1B-4231-8FF9-33852B5A3C33}" name="Column5" headerRowDxfId="1553" dataDxfId="1552" totalsRowDxfId="1551"/>
    <tableColumn id="6" xr3:uid="{7EA1FB1C-77EB-4FCF-94D9-59F3F506F848}" name="Column6" headerRowDxfId="1550" dataDxfId="1549" totalsRowDxfId="1548"/>
    <tableColumn id="33" xr3:uid="{61294ED4-648C-4E4E-9E25-B6F3088B82C1}" name="Column32" headerRowDxfId="1547" dataDxfId="1546" totalsRowDxfId="1545"/>
    <tableColumn id="32" xr3:uid="{B93B7AF9-179B-4B5B-A49E-AA4FF68263BC}" name="Column31" headerRowDxfId="1544" dataDxfId="1543" totalsRowDxfId="1542"/>
    <tableColumn id="10" xr3:uid="{E698766C-B13E-4C89-8E68-F8D7D3744959}" name="Column10" totalsRowFunction="sum" headerRowDxfId="1541" dataDxfId="1540" totalsRowDxfId="1539">
      <calculatedColumnFormula>Eng_21[[#This Row],[Column11]]+Eng_21[[#This Row],[Column12]]</calculatedColumnFormula>
    </tableColumn>
    <tableColumn id="11" xr3:uid="{37501D4E-331A-4843-B118-29E7CE1BA029}" name="Column11" totalsRowFunction="sum" headerRowDxfId="1538" dataDxfId="1537" totalsRowDxfId="1536"/>
    <tableColumn id="12" xr3:uid="{666A17AA-66C6-47DC-BCF6-2C1F5F94B5C7}" name="Column12" totalsRowFunction="sum" headerRowDxfId="1535" dataDxfId="1534" totalsRowDxfId="1533"/>
    <tableColumn id="13" xr3:uid="{B97FF954-0E60-4E2A-862F-BA4E879AE32D}" name="Column13" totalsRowFunction="custom" headerRowDxfId="1532" dataDxfId="1531" totalsRowDxfId="1530" dataCellStyle="Percent">
      <calculatedColumnFormula>IFERROR(J11/I11,0)</calculatedColumnFormula>
      <totalsRowFormula>IFERROR(Eng_21[[#Totals],[Column11]]/Eng_21[[#Totals],[Column10]],0)</totalsRowFormula>
    </tableColumn>
    <tableColumn id="15" xr3:uid="{76FF958D-42B3-44E5-8BD5-DA0E451ABB87}" name="Column15" totalsRowFunction="sum" headerRowDxfId="1529" dataDxfId="1528" totalsRowDxfId="1527">
      <calculatedColumnFormula>Eng_21[[#This Row],[Column16]]+Eng_21[[#This Row],[Column17]]</calculatedColumnFormula>
    </tableColumn>
    <tableColumn id="16" xr3:uid="{FE9ABF5C-543B-4A47-96B9-A171B6EFF46B}" name="Column16" totalsRowFunction="sum" headerRowDxfId="1526" dataDxfId="1525" totalsRowDxfId="1524"/>
    <tableColumn id="17" xr3:uid="{A54F0FA6-A74B-4EAC-9934-D940FFEA4D8E}" name="Column17" totalsRowFunction="sum" headerRowDxfId="1523" dataDxfId="1522" totalsRowDxfId="1521"/>
    <tableColumn id="18" xr3:uid="{2CDC5EC3-E73E-4BED-B690-5A9438C91737}" name="Column18" totalsRowFunction="custom" headerRowDxfId="1520" dataDxfId="1519" totalsRowDxfId="1518" dataCellStyle="Percent">
      <calculatedColumnFormula>IFERROR(#REF!/#REF!,0)</calculatedColumnFormula>
      <totalsRowFormula>IFERROR(Eng_21[[#Totals],[Column16]]/Eng_21[[#Totals],[Column15]],0)</totalsRowFormula>
    </tableColumn>
    <tableColumn id="19" xr3:uid="{DF49E728-469C-404B-97BF-7FA631C75432}" name="Column19" totalsRowFunction="sum" headerRowDxfId="1517" dataDxfId="1516" totalsRowDxfId="1515">
      <calculatedColumnFormula>Eng_21[[#This Row],[Column20]]+Eng_21[[#This Row],[Column21]]</calculatedColumnFormula>
    </tableColumn>
    <tableColumn id="20" xr3:uid="{4E59E601-8BA5-4058-A14C-3C3B2ACD3871}" name="Column20" totalsRowFunction="sum" headerRowDxfId="1514" dataDxfId="1513" totalsRowDxfId="1512"/>
    <tableColumn id="21" xr3:uid="{56F2817D-9C66-43E6-8C04-8E9C07DF67EB}" name="Column21" totalsRowFunction="sum" headerRowDxfId="1511" dataDxfId="1510" totalsRowDxfId="1509"/>
    <tableColumn id="22" xr3:uid="{CD5CDE67-A3ED-4340-AFB7-8E54C8EBAE8D}" name="Column22" totalsRowFunction="custom" headerRowDxfId="1508" dataDxfId="1507" totalsRowDxfId="1506" dataCellStyle="Percent">
      <calculatedColumnFormula>IFERROR(R11/Q11,0)</calculatedColumnFormula>
      <totalsRowFormula>IFERROR(Eng_21[[#Totals],[Column20]]/Eng_21[[#Totals],[Column19]],0)</totalsRowFormula>
    </tableColumn>
    <tableColumn id="24" xr3:uid="{A5D2FA8C-AE0B-4B72-AD46-FF77FF22BE7B}" name="Column24" totalsRowFunction="sum" headerRowDxfId="1505" dataDxfId="1504" totalsRowDxfId="1503">
      <calculatedColumnFormula>Eng_21[[#This Row],[Column30]]+Eng_21[[#This Row],[Column29]]</calculatedColumnFormula>
    </tableColumn>
    <tableColumn id="30" xr3:uid="{437EFA5F-85EC-416A-B82E-099C138EAE17}" name="Column30" totalsRowFunction="sum" headerRowDxfId="1502" dataDxfId="1501" totalsRowDxfId="1500"/>
    <tableColumn id="29" xr3:uid="{E5962A19-BF14-4BB6-B006-8944475FFC8E}" name="Column29" totalsRowFunction="sum" headerRowDxfId="1499" dataDxfId="1498" totalsRowDxfId="1497"/>
    <tableColumn id="25" xr3:uid="{9B6A96E1-37A8-4568-8379-C66BE2798827}" name="Column25" totalsRowFunction="custom" headerRowDxfId="1496" dataDxfId="1495" totalsRowDxfId="1494">
      <calculatedColumnFormula>IFERROR(Eng_21[[#This Row],[Column30]]/Eng_21[[#This Row],[Column24]],0)</calculatedColumnFormula>
      <totalsRowFormula>IFERROR(Eng_21[[#Totals],[Column30]]/Eng_21[[#Totals],[Column24]],0)</totalsRowFormula>
    </tableColumn>
    <tableColumn id="26" xr3:uid="{418DAD7C-313F-4ED1-96EA-5D024DC3F132}" name="Column26" totalsRowFunction="custom" headerRowDxfId="1493" dataDxfId="1492" totalsRowDxfId="1491" dataCellStyle="Percent">
      <calculatedColumnFormula>IFERROR(W11/V11,0)</calculatedColumnFormula>
      <totalsRowFormula>IFERROR(Eng_21[[#Totals],[Column24]]/Eng_21[[#Totals],[Column19]],0)</totalsRowFormula>
    </tableColumn>
    <tableColumn id="28" xr3:uid="{A72ECBB1-8A09-4025-8731-1CD4E5CDE378}" name="Column232" headerRowDxfId="1490" dataDxfId="1489" totalsRowDxfId="1488" dataCellStyle="Percent"/>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103ACE-A6BC-4B0C-A6C1-2A8D221A29ED}" name="Engineering683" displayName="Engineering683" ref="C18:S23" headerRowCount="0" totalsRowCount="1" headerRowDxfId="2504" dataDxfId="2503" totalsRowDxfId="2501" tableBorderDxfId="2502">
  <tableColumns count="17">
    <tableColumn id="1" xr3:uid="{C8CA9D07-212D-4DAA-AAE3-070F562E435C}" name="Column1" headerRowDxfId="2500" dataDxfId="2499" totalsRowDxfId="2498"/>
    <tableColumn id="2" xr3:uid="{FB3E1746-0272-4F88-82F0-CF3015AD11B0}" name="Column2" headerRowDxfId="2497" dataDxfId="2496" totalsRowDxfId="2495"/>
    <tableColumn id="3" xr3:uid="{2814AE27-20C7-4CAD-9C5D-35774CC52ABC}" name="Column3" headerRowDxfId="2494" dataDxfId="2493" totalsRowDxfId="2492"/>
    <tableColumn id="4" xr3:uid="{255D6DFB-51C2-43B7-9435-3463C9A48F7F}" name="Column4" headerRowDxfId="2491" dataDxfId="2490" totalsRowDxfId="2489"/>
    <tableColumn id="5" xr3:uid="{ECB72BA8-D4C0-4495-89E5-DA8FC1152D18}" name="Column5" headerRowDxfId="2488" dataDxfId="2487" totalsRowDxfId="2486"/>
    <tableColumn id="6" xr3:uid="{70EF8C55-FBF4-4C33-8147-AAD07582B4E0}" name="Column6" headerRowDxfId="2485" dataDxfId="2484" totalsRowDxfId="2483"/>
    <tableColumn id="7" xr3:uid="{EB60C43C-D071-44B2-8A83-2AFC77A01D28}" name="Column7" totalsRowFunction="sum" headerRowDxfId="2482" dataDxfId="2481" totalsRowDxfId="2480">
      <calculatedColumnFormula>J18+K18</calculatedColumnFormula>
    </tableColumn>
    <tableColumn id="8" xr3:uid="{C2805A59-4F86-4C8E-9016-2451150BD657}" name="Column8" totalsRowFunction="sum" headerRowDxfId="2479" dataDxfId="2478" totalsRowDxfId="2477">
      <calculatedColumnFormula>'#1'!#REF!</calculatedColumnFormula>
    </tableColumn>
    <tableColumn id="9" xr3:uid="{7FF06834-D475-4899-BA5D-668A66818706}" name="Column9" totalsRowFunction="sum" headerRowDxfId="2476" dataDxfId="2475" totalsRowDxfId="2474">
      <calculatedColumnFormula>'#1'!#REF!</calculatedColumnFormula>
    </tableColumn>
    <tableColumn id="10" xr3:uid="{6B4FB398-E3FE-4073-B7EF-6411A20F6B8F}" name="Column10" totalsRowFunction="custom" headerRowDxfId="2473" dataDxfId="2472" totalsRowDxfId="2471" headerRowCellStyle="Percent" dataCellStyle="Percent">
      <calculatedColumnFormula>IFERROR(J18/I18,0)</calculatedColumnFormula>
      <totalsRowFormula>IFERROR(J23/I23,0)</totalsRowFormula>
    </tableColumn>
    <tableColumn id="11" xr3:uid="{14A9D9D9-F6C6-4C58-808A-CCD8D3FC2E0B}" name="Column11" totalsRowFunction="sum" headerRowDxfId="2470" dataDxfId="2469" totalsRowDxfId="2468">
      <calculatedColumnFormula>N18+O18</calculatedColumnFormula>
    </tableColumn>
    <tableColumn id="12" xr3:uid="{388E1646-6BA2-426F-A670-B87E2E0C257B}" name="Column12" totalsRowFunction="sum" headerRowDxfId="2467" dataDxfId="2466" totalsRowDxfId="2465">
      <calculatedColumnFormula>'#1'!#REF!</calculatedColumnFormula>
    </tableColumn>
    <tableColumn id="13" xr3:uid="{C511CA88-E2B1-47EF-8044-04AF5B4A12C8}" name="Column13" totalsRowFunction="sum" headerRowDxfId="2464" dataDxfId="2463" totalsRowDxfId="2462">
      <calculatedColumnFormula>'#1'!#REF!</calculatedColumnFormula>
    </tableColumn>
    <tableColumn id="14" xr3:uid="{301B80CF-55CE-4A05-8DF2-1CC49E44BE4E}" name="Column14" totalsRowFunction="custom" headerRowDxfId="2461" dataDxfId="2460" totalsRowDxfId="2459" headerRowCellStyle="Percent" dataCellStyle="Percent">
      <calculatedColumnFormula>IFERROR(N18/M18,0)</calculatedColumnFormula>
      <totalsRowFormula>IFERROR(N23/M23,0)</totalsRowFormula>
    </tableColumn>
    <tableColumn id="15" xr3:uid="{43210B99-B433-431B-86B8-D3748D926664}" name="Column15" totalsRowFunction="sum" headerRowDxfId="2458" dataDxfId="2457" totalsRowDxfId="2456">
      <calculatedColumnFormula>R18+S18</calculatedColumnFormula>
    </tableColumn>
    <tableColumn id="16" xr3:uid="{48CAC4DC-1F1C-4D41-A090-04E05B48C66C}" name="Column16" totalsRowFunction="sum" headerRowDxfId="2455" dataDxfId="2454" totalsRowDxfId="2453">
      <calculatedColumnFormula>'#1'!#REF!</calculatedColumnFormula>
    </tableColumn>
    <tableColumn id="17" xr3:uid="{73D4E480-AB69-42BB-8AF2-0203C5684447}" name="Column17" totalsRowFunction="sum" headerRowDxfId="2452" dataDxfId="2451" totalsRowDxfId="2450">
      <calculatedColumnFormula>'#1'!#REF!</calculatedColumnFormula>
    </tableColumn>
  </tableColumns>
  <tableStyleInfo name="TableStyleMedium2"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F7B94A-573E-4E29-B363-BAD9B9716C57}" name="Eng" displayName="Eng" ref="A9:Z13" headerRowCount="0" totalsRowCount="1" headerRowDxfId="1487" dataDxfId="1486" totalsRowDxfId="1484" tableBorderDxfId="1485">
  <tableColumns count="26">
    <tableColumn id="1" xr3:uid="{28A80A9E-F07F-4018-B464-14D19258D7D0}" name="Column1" headerRowDxfId="1483" dataDxfId="1482" totalsRowDxfId="1481"/>
    <tableColumn id="2" xr3:uid="{148537E5-B910-41AC-99FD-4DB415A16818}" name="Column2" headerRowDxfId="1480" dataDxfId="1479" totalsRowDxfId="1478"/>
    <tableColumn id="3" xr3:uid="{62AE7A94-9373-4EA3-A142-B9BEAEB45950}" name="Column3" headerRowDxfId="1477" dataDxfId="1476" totalsRowDxfId="1475"/>
    <tableColumn id="4" xr3:uid="{5DFE31D2-9FD6-4335-9172-6A05320995E9}" name="Column4" totalsRowLabel="SubTotal" headerRowDxfId="1474" dataDxfId="1473" totalsRowDxfId="1472"/>
    <tableColumn id="5" xr3:uid="{DC4FA3BD-90EE-4FD1-B802-B347680AA3FD}" name="Column5" headerRowDxfId="1471" dataDxfId="1470" totalsRowDxfId="1469"/>
    <tableColumn id="6" xr3:uid="{51F86B4E-F9A1-46E1-9A1A-F573C961B607}" name="Column6" headerRowDxfId="1468" dataDxfId="1467" totalsRowDxfId="1466"/>
    <tableColumn id="33" xr3:uid="{B2D5DB64-43AB-4F9E-B914-E05511902357}" name="Column32" headerRowDxfId="1465" dataDxfId="1464" totalsRowDxfId="1463"/>
    <tableColumn id="32" xr3:uid="{FDBF87A2-C392-458B-B00E-598FA9397527}" name="Column31" headerRowDxfId="1462" dataDxfId="1461" totalsRowDxfId="1460"/>
    <tableColumn id="10" xr3:uid="{F76CC49D-7510-4595-9607-65B1D5165CDA}" name="Column10" totalsRowFunction="sum" headerRowDxfId="1459" dataDxfId="1458" totalsRowDxfId="1457">
      <calculatedColumnFormula>Eng[[#This Row],[Column11]]+Eng[[#This Row],[Column12]]</calculatedColumnFormula>
    </tableColumn>
    <tableColumn id="11" xr3:uid="{0FBCE2C1-2114-4676-9C33-19929843D45C}" name="Column11" totalsRowFunction="sum" headerRowDxfId="1456" dataDxfId="1455" totalsRowDxfId="1454"/>
    <tableColumn id="12" xr3:uid="{A23B828F-5DC1-46FE-B548-D89AA010956A}" name="Column12" totalsRowFunction="sum" headerRowDxfId="1453" dataDxfId="1452" totalsRowDxfId="1451"/>
    <tableColumn id="13" xr3:uid="{EB3DD5F0-7248-45A7-96E7-95AE806675D7}" name="Column13" totalsRowFunction="custom" headerRowDxfId="1450" dataDxfId="1449" totalsRowDxfId="1448" dataCellStyle="Percent">
      <calculatedColumnFormula>IFERROR(J9/I9,0)</calculatedColumnFormula>
      <totalsRowFormula>IFERROR(Eng[[#Totals],[Column11]]/Eng[[#Totals],[Column10]],0)</totalsRowFormula>
    </tableColumn>
    <tableColumn id="15" xr3:uid="{D49F345F-48AB-4FCE-AC71-C79522775B6B}" name="Column15" totalsRowFunction="sum" headerRowDxfId="1447" dataDxfId="1446" totalsRowDxfId="1445">
      <calculatedColumnFormula>Eng[[#This Row],[Column16]]+Eng[[#This Row],[Column17]]</calculatedColumnFormula>
    </tableColumn>
    <tableColumn id="16" xr3:uid="{054F1C83-6A5D-41AF-9425-42B01857A7A1}" name="Column16" totalsRowFunction="sum" headerRowDxfId="1444" dataDxfId="1443" totalsRowDxfId="1442"/>
    <tableColumn id="17" xr3:uid="{C378498A-7555-4DB8-B63B-211A6138B365}" name="Column17" totalsRowFunction="sum" headerRowDxfId="1441" dataDxfId="1440" totalsRowDxfId="1439"/>
    <tableColumn id="18" xr3:uid="{C9200B60-ACC1-4CD2-A6D7-489FDF43BB27}" name="Column18" totalsRowFunction="custom" headerRowDxfId="1438" dataDxfId="1437" totalsRowDxfId="1436" dataCellStyle="Percent">
      <calculatedColumnFormula>IFERROR(#REF!/#REF!,0)</calculatedColumnFormula>
      <totalsRowFormula>IFERROR(Eng[[#Totals],[Column16]]/Eng[[#Totals],[Column15]],0)</totalsRowFormula>
    </tableColumn>
    <tableColumn id="19" xr3:uid="{F48BBE06-CA4F-4CC5-B500-8BB4391300FA}" name="Column19" totalsRowFunction="sum" headerRowDxfId="1435" dataDxfId="1434" totalsRowDxfId="1433">
      <calculatedColumnFormula>Eng[[#This Row],[Column20]]+Eng[[#This Row],[Column21]]</calculatedColumnFormula>
    </tableColumn>
    <tableColumn id="20" xr3:uid="{29CCEA5F-286A-41D6-8078-01FBB69D5462}" name="Column20" totalsRowFunction="sum" headerRowDxfId="1432" dataDxfId="1431" totalsRowDxfId="1430"/>
    <tableColumn id="21" xr3:uid="{6919E7D9-8867-4B11-8906-A1B592F32DED}" name="Column21" totalsRowFunction="sum" headerRowDxfId="1429" dataDxfId="1428" totalsRowDxfId="1427"/>
    <tableColumn id="22" xr3:uid="{3BAF8FAC-15D2-4349-9972-309FC372EB5A}" name="Column22" totalsRowFunction="custom" headerRowDxfId="1426" dataDxfId="1425" totalsRowDxfId="1424" dataCellStyle="Percent">
      <calculatedColumnFormula>IFERROR(R9/Q9,0)</calculatedColumnFormula>
      <totalsRowFormula>IFERROR(Eng[[#Totals],[Column20]]/Eng[[#Totals],[Column19]],0)</totalsRowFormula>
    </tableColumn>
    <tableColumn id="24" xr3:uid="{C0245BF6-85F4-41CF-B774-2E1035DEB2BE}" name="Column24" totalsRowFunction="sum" headerRowDxfId="1423" dataDxfId="1422" totalsRowDxfId="1421">
      <calculatedColumnFormula>Eng[[#This Row],[Column30]]+Eng[[#This Row],[Column29]]</calculatedColumnFormula>
    </tableColumn>
    <tableColumn id="30" xr3:uid="{D0BA3EAA-9B70-4293-9B56-0DCDF60C799C}" name="Column30" totalsRowFunction="sum" headerRowDxfId="1420" dataDxfId="1419" totalsRowDxfId="1418"/>
    <tableColumn id="29" xr3:uid="{E840F9AE-F389-4FEC-B36D-56C3F7FA8E46}" name="Column29" totalsRowFunction="sum" headerRowDxfId="1417" dataDxfId="1416" totalsRowDxfId="1415"/>
    <tableColumn id="25" xr3:uid="{D4F7C368-D599-480F-888B-19BB03943F8F}" name="Column25" totalsRowFunction="custom" headerRowDxfId="1414" dataDxfId="1413" totalsRowDxfId="1412" dataCellStyle="Percent">
      <calculatedColumnFormula>IFERROR(Eng[[#This Row],[Column30]]/Eng[[#This Row],[Column24]],0)</calculatedColumnFormula>
      <totalsRowFormula>IFERROR(Eng[[#Totals],[Column30]]/Eng[[#Totals],[Column24]],0)</totalsRowFormula>
    </tableColumn>
    <tableColumn id="26" xr3:uid="{3FE72898-D9A6-4AE2-B72E-CF639BBA493E}" name="Column26" totalsRowFunction="custom" headerRowDxfId="1411" dataDxfId="1410" totalsRowDxfId="1409" dataCellStyle="Percent">
      <calculatedColumnFormula>IFERROR(W9/V9,0)</calculatedColumnFormula>
      <totalsRowFormula>IFERROR(Eng[[#Totals],[Column24]]/Eng[[#Totals],[Column19]],0)</totalsRowFormula>
    </tableColumn>
    <tableColumn id="28" xr3:uid="{684B7A0C-F11D-4DBC-8ADE-C5C027F44CB5}" name="Column232" headerRowDxfId="1408" dataDxfId="1407" totalsRowDxfId="1406" dataCellStyle="Percent"/>
  </tableColumns>
  <tableStyleInfo name="TableStyleMedium2"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4BB7556B-7E38-4D4A-85E3-68C8CB19704E}" name="Fab" displayName="Fab" ref="A9:Z13" headerRowCount="0" totalsRowCount="1" headerRowDxfId="1405" dataDxfId="1404" totalsRowDxfId="1402" tableBorderDxfId="1403">
  <tableColumns count="26">
    <tableColumn id="1" xr3:uid="{7990C498-1109-4780-80C4-DB6470A99DF9}" name="Column1" headerRowDxfId="1401" dataDxfId="1400" totalsRowDxfId="1399"/>
    <tableColumn id="2" xr3:uid="{DB413CC7-5738-4C40-9258-14EF586036E9}" name="Column2" headerRowDxfId="1398" dataDxfId="1397" totalsRowDxfId="1396"/>
    <tableColumn id="3" xr3:uid="{1A674AB6-2FB0-4747-B6C4-9D0E5CA2A826}" name="Column3" headerRowDxfId="1395" dataDxfId="1394" totalsRowDxfId="1393"/>
    <tableColumn id="4" xr3:uid="{D7304290-6DC1-468A-B963-0E86AC861CFF}" name="Column4" totalsRowLabel="SubTotal" headerRowDxfId="1392" dataDxfId="1391" totalsRowDxfId="1390"/>
    <tableColumn id="5" xr3:uid="{BD3C6F11-A8BC-41EE-891E-E1D100EF9B63}" name="Column5" headerRowDxfId="1389" dataDxfId="1388" totalsRowDxfId="1387"/>
    <tableColumn id="6" xr3:uid="{242820E3-424C-4DE2-8136-A2C0139ABCAC}" name="Column6" headerRowDxfId="1386" dataDxfId="1385" totalsRowDxfId="1384"/>
    <tableColumn id="33" xr3:uid="{74602734-4BBB-4315-8997-FBBAC81B8E6B}" name="Column32" headerRowDxfId="1383" dataDxfId="1382" totalsRowDxfId="1381"/>
    <tableColumn id="32" xr3:uid="{B044438E-C41D-4310-A1B3-D226D1DC0DEF}" name="Column31" headerRowDxfId="1380" dataDxfId="1379" totalsRowDxfId="1378"/>
    <tableColumn id="10" xr3:uid="{6274CE4C-465A-4021-8415-92CC2148628A}" name="Column10" totalsRowFunction="sum" headerRowDxfId="1377" dataDxfId="1376" totalsRowDxfId="1375">
      <calculatedColumnFormula>Fab[[#This Row],[Column11]]+Fab[[#This Row],[Column12]]</calculatedColumnFormula>
    </tableColumn>
    <tableColumn id="11" xr3:uid="{F2A65D1F-1934-43D1-82A9-5932AA4F3E16}" name="Column11" totalsRowFunction="sum" headerRowDxfId="1374" dataDxfId="1373" totalsRowDxfId="1372"/>
    <tableColumn id="12" xr3:uid="{D288113E-0F80-4451-9CB1-2B067F2BF10D}" name="Column12" totalsRowFunction="sum" headerRowDxfId="1371" dataDxfId="1370" totalsRowDxfId="1369"/>
    <tableColumn id="13" xr3:uid="{262BAA77-79A1-4877-9E18-237564AE844D}" name="Column13" totalsRowFunction="custom" headerRowDxfId="1368" dataDxfId="1367" totalsRowDxfId="1366" dataCellStyle="Percent">
      <calculatedColumnFormula>IFERROR(J9/I9,0)</calculatedColumnFormula>
      <totalsRowFormula>IFERROR(Fab[[#Totals],[Column11]]/Fab[[#Totals],[Column10]],0)</totalsRowFormula>
    </tableColumn>
    <tableColumn id="15" xr3:uid="{EE32B6CD-E9D1-4D3C-BF6D-348E13820A66}" name="Column15" totalsRowFunction="sum" headerRowDxfId="1365" dataDxfId="1364" totalsRowDxfId="1363">
      <calculatedColumnFormula>Fab[[#This Row],[Column16]]+Fab[[#This Row],[Column17]]</calculatedColumnFormula>
    </tableColumn>
    <tableColumn id="16" xr3:uid="{D2DCAF89-35B6-4DA6-A3E4-BAD959177736}" name="Column16" totalsRowFunction="sum" headerRowDxfId="1362" dataDxfId="1361" totalsRowDxfId="1360"/>
    <tableColumn id="17" xr3:uid="{6A4000DB-74D8-4865-9273-34C5B855E35E}" name="Column17" totalsRowFunction="sum" headerRowDxfId="1359" dataDxfId="1358" totalsRowDxfId="1357"/>
    <tableColumn id="18" xr3:uid="{34FE5D18-1CC5-4AD6-B390-22B3993E6B62}" name="Column18" totalsRowFunction="custom" headerRowDxfId="1356" dataDxfId="1355" totalsRowDxfId="1354" dataCellStyle="Percent">
      <calculatedColumnFormula>IFERROR(N11/M11,0)</calculatedColumnFormula>
      <totalsRowFormula>IFERROR(Fab[[#Totals],[Column16]]/Fab[[#Totals],[Column15]],0)</totalsRowFormula>
    </tableColumn>
    <tableColumn id="19" xr3:uid="{D38F2C7A-C09D-47C7-BA3C-BEC2AFEE091D}" name="Column19" totalsRowFunction="sum" headerRowDxfId="1353" dataDxfId="1352" totalsRowDxfId="1351">
      <calculatedColumnFormula>Fab[[#This Row],[Column20]]+Fab[[#This Row],[Column21]]</calculatedColumnFormula>
    </tableColumn>
    <tableColumn id="20" xr3:uid="{70EB96C0-1F98-4F84-ABAF-241A8AF354E3}" name="Column20" totalsRowFunction="sum" headerRowDxfId="1350" dataDxfId="1349" totalsRowDxfId="1348"/>
    <tableColumn id="21" xr3:uid="{875B7887-1599-41BA-B781-AB0317B34EC9}" name="Column21" totalsRowFunction="sum" headerRowDxfId="1347" dataDxfId="1346" totalsRowDxfId="1345"/>
    <tableColumn id="22" xr3:uid="{1A57483C-9B00-4DB0-A66E-24D9C6D0A979}" name="Column22" totalsRowFunction="custom" headerRowDxfId="1344" dataDxfId="1343" totalsRowDxfId="1342" dataCellStyle="Percent">
      <calculatedColumnFormula>IFERROR(R9/Q9,0)</calculatedColumnFormula>
      <totalsRowFormula>IFERROR(Fab[[#Totals],[Column20]]/Fab[[#Totals],[Column19]],0)</totalsRowFormula>
    </tableColumn>
    <tableColumn id="24" xr3:uid="{F3D80E12-C979-4008-BB0D-28B362C9412A}" name="Column24" totalsRowFunction="sum" headerRowDxfId="1341" dataDxfId="1340" totalsRowDxfId="1339">
      <calculatedColumnFormula>Fab[[#This Row],[Column30]]+Fab[[#This Row],[Column29]]</calculatedColumnFormula>
    </tableColumn>
    <tableColumn id="30" xr3:uid="{9DCEEDB0-60CA-49DD-9425-D8E66EE3B1AC}" name="Column30" totalsRowFunction="sum" headerRowDxfId="1338" dataDxfId="1337" totalsRowDxfId="1336"/>
    <tableColumn id="29" xr3:uid="{21BBCDE9-16FB-44FA-B487-9C9160DF1FC6}" name="Column29" totalsRowFunction="sum" headerRowDxfId="1335" dataDxfId="1334" totalsRowDxfId="1333"/>
    <tableColumn id="25" xr3:uid="{47CD5310-9562-441E-93EA-2DA453C06A04}" name="Column25" totalsRowFunction="custom" headerRowDxfId="1332" dataDxfId="1331" totalsRowDxfId="1330">
      <calculatedColumnFormula>IFERROR(Fab[[#This Row],[Column30]]/Fab[[#This Row],[Column24]],0)</calculatedColumnFormula>
      <totalsRowFormula>IFERROR(Fab[[#Totals],[Column30]]/Fab[[#Totals],[Column24]],0)</totalsRowFormula>
    </tableColumn>
    <tableColumn id="26" xr3:uid="{A127728F-8709-40C2-B5E0-DF6843D81451}" name="Column26" totalsRowFunction="custom" headerRowDxfId="1329" dataDxfId="1328" totalsRowDxfId="1327" dataCellStyle="Percent">
      <calculatedColumnFormula>IFERROR(Fab[[#This Row],[Column24]]/Fab[[#This Row],[Column19]],0)</calculatedColumnFormula>
      <totalsRowFormula>IFERROR(Fab[[#Totals],[Column24]]/Fab[[#Totals],[Column19]],0)</totalsRowFormula>
    </tableColumn>
    <tableColumn id="28" xr3:uid="{9D3DF8F1-1E69-4EC6-B685-87296309BC49}" name="Column232" headerRowDxfId="1326" dataDxfId="1325" totalsRowDxfId="1324" dataCellStyle="Percent"/>
  </tableColumns>
  <tableStyleInfo name="TableStyleMedium2"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FE43B8F8-5A0D-4565-AD11-3881B32E4873}" name="Mat" displayName="Mat" ref="A9:Z13" headerRowCount="0" totalsRowCount="1" headerRowDxfId="1323" dataDxfId="1322" totalsRowDxfId="1320" tableBorderDxfId="1321">
  <tableColumns count="26">
    <tableColumn id="1" xr3:uid="{2C6ED2F2-C892-475C-8D60-567D5E93987C}" name="Column1" headerRowDxfId="1319" dataDxfId="1318" totalsRowDxfId="1317"/>
    <tableColumn id="2" xr3:uid="{640F9184-BDC4-42A2-9A9F-36B11C0764C1}" name="Column2" headerRowDxfId="1316" dataDxfId="1315" totalsRowDxfId="1314"/>
    <tableColumn id="3" xr3:uid="{F5887F7F-E870-46B9-A498-FD0BAD6D98EA}" name="Column3" headerRowDxfId="1313" dataDxfId="1312" totalsRowDxfId="1311"/>
    <tableColumn id="4" xr3:uid="{EFEA35D2-26D5-4CDD-AAC9-D8BE4456908F}" name="Column4" totalsRowLabel="SubTotal" headerRowDxfId="1310" dataDxfId="1309" totalsRowDxfId="1308"/>
    <tableColumn id="5" xr3:uid="{8AD64E69-A678-4E0D-8F8F-67A64B818854}" name="Column5" headerRowDxfId="1307" dataDxfId="1306" totalsRowDxfId="1305"/>
    <tableColumn id="6" xr3:uid="{7AB768B5-A10C-44B5-80D2-B9CE778EFBC4}" name="Column6" headerRowDxfId="1304" dataDxfId="1303" totalsRowDxfId="1302"/>
    <tableColumn id="33" xr3:uid="{4D0EB3C6-E4B3-4B80-88CB-5F847577E10B}" name="Column32" headerRowDxfId="1301" dataDxfId="1300" totalsRowDxfId="1299"/>
    <tableColumn id="32" xr3:uid="{FCF00123-C09A-4CC8-9B13-15568632B4E1}" name="Column31" headerRowDxfId="1298" dataDxfId="1297" totalsRowDxfId="1296"/>
    <tableColumn id="10" xr3:uid="{DC6DC062-A8B9-42DA-94C4-11F22BC20ED7}" name="Column10" totalsRowFunction="sum" headerRowDxfId="1295" dataDxfId="1294" totalsRowDxfId="1293">
      <calculatedColumnFormula>Mat[[#This Row],[Column11]]+Mat[[#This Row],[Column12]]</calculatedColumnFormula>
    </tableColumn>
    <tableColumn id="11" xr3:uid="{C3DD6F4E-AA91-4833-B6AC-F6BCD0433003}" name="Column11" totalsRowFunction="sum" headerRowDxfId="1292" dataDxfId="1291" totalsRowDxfId="1290"/>
    <tableColumn id="12" xr3:uid="{19796D5F-5378-4616-AA31-2569F77FC6E6}" name="Column12" totalsRowFunction="sum" headerRowDxfId="1289" dataDxfId="1288" totalsRowDxfId="1287"/>
    <tableColumn id="13" xr3:uid="{F4942FA6-BF32-46C6-885B-72B3258E83B8}" name="Column13" totalsRowFunction="custom" headerRowDxfId="1286" dataDxfId="1285" totalsRowDxfId="1284" dataCellStyle="Percent">
      <calculatedColumnFormula>IFERROR(J9/I9,0)</calculatedColumnFormula>
      <totalsRowFormula>IFERROR(Mat[[#Totals],[Column11]]/Mat[[#Totals],[Column10]],0)</totalsRowFormula>
    </tableColumn>
    <tableColumn id="15" xr3:uid="{4D0D1825-9994-4676-9375-488F9EDF2B19}" name="Column15" totalsRowFunction="sum" headerRowDxfId="1283" dataDxfId="1282" totalsRowDxfId="1281">
      <calculatedColumnFormula>Mat[[#This Row],[Column16]]+Mat[[#This Row],[Column17]]</calculatedColumnFormula>
    </tableColumn>
    <tableColumn id="16" xr3:uid="{3B5E4CF0-5B78-43BB-84DC-D734732F4B16}" name="Column16" totalsRowFunction="sum" headerRowDxfId="1280" dataDxfId="1279" totalsRowDxfId="1278"/>
    <tableColumn id="17" xr3:uid="{F005DF83-E4FF-403F-801E-84A785D3D61C}" name="Column17" totalsRowFunction="sum" headerRowDxfId="1277" dataDxfId="1276" totalsRowDxfId="1275"/>
    <tableColumn id="18" xr3:uid="{4D6463B4-9A32-4B26-8865-CED4A3D79EE0}" name="Column18" totalsRowFunction="custom" headerRowDxfId="1274" dataDxfId="1273" totalsRowDxfId="1272" dataCellStyle="Percent">
      <calculatedColumnFormula>IFERROR(N11/M11,0)</calculatedColumnFormula>
      <totalsRowFormula>IFERROR(Mat[[#Totals],[Column16]]/Mat[[#Totals],[Column15]],0)</totalsRowFormula>
    </tableColumn>
    <tableColumn id="19" xr3:uid="{FB75FBE6-E324-4B52-ABE4-B3B2F90B5981}" name="Column19" totalsRowFunction="sum" headerRowDxfId="1271" dataDxfId="1270" totalsRowDxfId="1269">
      <calculatedColumnFormula>Mat[[#This Row],[Column20]]+Mat[[#This Row],[Column21]]</calculatedColumnFormula>
    </tableColumn>
    <tableColumn id="20" xr3:uid="{BB533B19-5F81-4F6F-9F72-D0160BE550AC}" name="Column20" totalsRowFunction="sum" headerRowDxfId="1268" dataDxfId="1267" totalsRowDxfId="1266"/>
    <tableColumn id="21" xr3:uid="{94606B87-E8A7-4F97-BF89-2FE377759A41}" name="Column21" totalsRowFunction="sum" headerRowDxfId="1265" dataDxfId="1264" totalsRowDxfId="1263"/>
    <tableColumn id="22" xr3:uid="{11BA3321-DCA8-404A-BB41-E40838266F52}" name="Column22" totalsRowFunction="custom" headerRowDxfId="1262" dataDxfId="1261" totalsRowDxfId="1260" dataCellStyle="Percent">
      <calculatedColumnFormula>IFERROR(R9/Q9,0)</calculatedColumnFormula>
      <totalsRowFormula>IFERROR(Mat[[#Totals],[Column20]]/Mat[[#Totals],[Column19]],0)</totalsRowFormula>
    </tableColumn>
    <tableColumn id="24" xr3:uid="{8CFD0ECB-8728-4BE5-B2AD-67D3EB7A637A}" name="Column24" totalsRowFunction="sum" headerRowDxfId="1259" dataDxfId="1258" totalsRowDxfId="1257">
      <calculatedColumnFormula>Mat[[#This Row],[Column30]]+Mat[[#This Row],[Column29]]</calculatedColumnFormula>
    </tableColumn>
    <tableColumn id="30" xr3:uid="{3E4136AB-9A06-4FEB-A554-7EF57A8523C5}" name="Column30" totalsRowFunction="sum" headerRowDxfId="1256" dataDxfId="1255" totalsRowDxfId="1254"/>
    <tableColumn id="29" xr3:uid="{8D45E444-2F7D-4726-85ED-C9535CFA4431}" name="Column29" totalsRowFunction="sum" headerRowDxfId="1253" dataDxfId="1252" totalsRowDxfId="1251"/>
    <tableColumn id="25" xr3:uid="{A6B27509-117E-4F91-A9C6-E8C01F837EC6}" name="Column25" totalsRowFunction="custom" headerRowDxfId="1250" dataDxfId="1249" totalsRowDxfId="1248">
      <calculatedColumnFormula>IFERROR(Mat[[#This Row],[Column30]]/Mat[[#This Row],[Column24]],0)</calculatedColumnFormula>
      <totalsRowFormula>IFERROR(Mat[[#Totals],[Column30]]/Mat[[#Totals],[Column24]],0)</totalsRowFormula>
    </tableColumn>
    <tableColumn id="26" xr3:uid="{C73F81C6-30FA-4E6D-8C24-2550191B8536}" name="Column26" totalsRowFunction="custom" headerRowDxfId="1247" dataDxfId="1246" totalsRowDxfId="1245" dataCellStyle="Percent">
      <calculatedColumnFormula>IFERROR(W9/V9,0)</calculatedColumnFormula>
      <totalsRowFormula>IFERROR(Mat[[#Totals],[Column24]]/Mat[[#Totals],[Column19]],0)</totalsRowFormula>
    </tableColumn>
    <tableColumn id="28" xr3:uid="{D272A430-88F1-42BC-8A78-21A1D0372124}" name="Column232" headerRowDxfId="1244" dataDxfId="1243" totalsRowDxfId="1242" dataCellStyle="Percent"/>
  </tableColumns>
  <tableStyleInfo name="TableStyleMedium2"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B1CFA7D-334B-4ACD-870B-CB00C97DA115}" name="Well" displayName="Well" ref="A9:Z13" headerRowCount="0" totalsRowCount="1" headerRowDxfId="1241" dataDxfId="1240" totalsRowDxfId="1238" tableBorderDxfId="1239">
  <tableColumns count="26">
    <tableColumn id="1" xr3:uid="{09FA1B01-FC5E-4663-8318-968D49D7D54B}" name="Column1" headerRowDxfId="1237" dataDxfId="1236" totalsRowDxfId="1235"/>
    <tableColumn id="2" xr3:uid="{A129AA0B-1F10-4D36-9921-E4F532CE0412}" name="Column2" headerRowDxfId="1234" dataDxfId="1233" totalsRowDxfId="1232"/>
    <tableColumn id="3" xr3:uid="{28687A88-2ADF-4A01-B8D8-832B915DA55C}" name="Column3" headerRowDxfId="1231" dataDxfId="1230" totalsRowDxfId="1229"/>
    <tableColumn id="4" xr3:uid="{1CC5EB71-A31A-4A82-B497-0E6188E1E9EB}" name="Column4" totalsRowLabel="SubTotal" headerRowDxfId="1228" dataDxfId="1227" totalsRowDxfId="1226"/>
    <tableColumn id="5" xr3:uid="{834F7CAE-DF95-4F08-8C3D-A0BCA09699DC}" name="Column5" headerRowDxfId="1225" dataDxfId="1224" totalsRowDxfId="1223"/>
    <tableColumn id="6" xr3:uid="{BA8CE3F1-BBE8-4EB5-A380-0A88707A6E1F}" name="Column6" headerRowDxfId="1222" dataDxfId="1221" totalsRowDxfId="1220"/>
    <tableColumn id="33" xr3:uid="{C149C133-8413-422D-8F1D-95220D4808CF}" name="Column32" headerRowDxfId="1219" dataDxfId="1218" totalsRowDxfId="1217"/>
    <tableColumn id="32" xr3:uid="{C909E940-328D-4320-8133-319FA7DC3120}" name="Column31" headerRowDxfId="1216" dataDxfId="1215" totalsRowDxfId="1214"/>
    <tableColumn id="10" xr3:uid="{BAC10552-E600-4A19-84BF-649F29F22ABC}" name="Column10" totalsRowFunction="sum" headerRowDxfId="1213" dataDxfId="1212" totalsRowDxfId="1211">
      <calculatedColumnFormula>Well[[#This Row],[Column11]]+Well[[#This Row],[Column12]]</calculatedColumnFormula>
    </tableColumn>
    <tableColumn id="11" xr3:uid="{9A5D34AE-C74C-4DDD-BD58-332BF4D5AAFB}" name="Column11" totalsRowFunction="sum" headerRowDxfId="1210" dataDxfId="1209" totalsRowDxfId="1208"/>
    <tableColumn id="12" xr3:uid="{82DA36EC-C834-481B-B203-4BA1E4D82D9A}" name="Column12" totalsRowFunction="sum" headerRowDxfId="1207" dataDxfId="1206" totalsRowDxfId="1205"/>
    <tableColumn id="13" xr3:uid="{5F6A096D-005F-413F-8B68-0E1E59955F52}" name="Column13" totalsRowFunction="custom" headerRowDxfId="1204" dataDxfId="1203" totalsRowDxfId="1202" dataCellStyle="Percent">
      <calculatedColumnFormula>IFERROR(J9/I9,0)</calculatedColumnFormula>
      <totalsRowFormula>IFERROR(Well[[#Totals],[Column11]]/Well[[#Totals],[Column10]],0)</totalsRowFormula>
    </tableColumn>
    <tableColumn id="15" xr3:uid="{0DDB01E2-8E00-4BE9-9B55-D04F1957C53A}" name="Column15" totalsRowFunction="sum" headerRowDxfId="1201" dataDxfId="1200" totalsRowDxfId="1199">
      <calculatedColumnFormula>Well[[#This Row],[Column16]]+Well[[#This Row],[Column17]]</calculatedColumnFormula>
    </tableColumn>
    <tableColumn id="16" xr3:uid="{5DDF3F8E-41C5-42D3-AB26-3B7AB040B71E}" name="Column16" totalsRowFunction="sum" headerRowDxfId="1198" dataDxfId="1197" totalsRowDxfId="1196"/>
    <tableColumn id="17" xr3:uid="{EF69BFFF-1590-4FDA-A785-AFBB76D4AFFF}" name="Column17" totalsRowFunction="sum" headerRowDxfId="1195" dataDxfId="1194" totalsRowDxfId="1193"/>
    <tableColumn id="18" xr3:uid="{5B0AE818-F2E9-4D22-8AB8-711405F3F91D}" name="Column18" totalsRowFunction="custom" headerRowDxfId="1192" dataDxfId="1191" totalsRowDxfId="1190" dataCellStyle="Percent">
      <calculatedColumnFormula>IFERROR(N11/M11,0)</calculatedColumnFormula>
      <totalsRowFormula>IFERROR(Well[[#Totals],[Column16]]/Well[[#Totals],[Column15]],0)</totalsRowFormula>
    </tableColumn>
    <tableColumn id="19" xr3:uid="{8F23D24A-F0C7-44C9-9F22-B239122F98CE}" name="Column19" totalsRowFunction="sum" headerRowDxfId="1189" dataDxfId="1188" totalsRowDxfId="1187">
      <calculatedColumnFormula>Well[[#This Row],[Column20]]+Well[[#This Row],[Column21]]</calculatedColumnFormula>
    </tableColumn>
    <tableColumn id="20" xr3:uid="{CE521D50-7001-422D-B866-499B5E333D33}" name="Column20" totalsRowFunction="sum" headerRowDxfId="1186" dataDxfId="1185" totalsRowDxfId="1184"/>
    <tableColumn id="21" xr3:uid="{01DC8524-343B-40CF-AEB0-F0C891A1C33F}" name="Column21" totalsRowFunction="sum" headerRowDxfId="1183" dataDxfId="1182" totalsRowDxfId="1181"/>
    <tableColumn id="22" xr3:uid="{C1DE048A-127D-4CE2-AD55-DE64D3224492}" name="Column22" totalsRowFunction="custom" headerRowDxfId="1180" dataDxfId="1179" totalsRowDxfId="1178" dataCellStyle="Percent">
      <calculatedColumnFormula>IFERROR(R9/Q9,0)</calculatedColumnFormula>
      <totalsRowFormula>IFERROR(Well[[#Totals],[Column20]]/Well[[#Totals],[Column19]],0)</totalsRowFormula>
    </tableColumn>
    <tableColumn id="24" xr3:uid="{BB0FC4D9-20D1-4E33-8D82-212877AC820D}" name="Column24" totalsRowFunction="sum" headerRowDxfId="1177" dataDxfId="1176" totalsRowDxfId="1175">
      <calculatedColumnFormula>Well[[#This Row],[Column30]]+Well[[#This Row],[Column29]]</calculatedColumnFormula>
    </tableColumn>
    <tableColumn id="30" xr3:uid="{68BC729B-4D06-4A92-B4A8-DF8860429145}" name="Column30" totalsRowFunction="sum" headerRowDxfId="1174" dataDxfId="1173" totalsRowDxfId="1172"/>
    <tableColumn id="29" xr3:uid="{F9FE997A-A985-4A86-9350-B1957BBC1672}" name="Column29" totalsRowFunction="sum" headerRowDxfId="1171" dataDxfId="1170" totalsRowDxfId="1169"/>
    <tableColumn id="25" xr3:uid="{A4D88945-A789-4375-AE5F-C1E490BF4C20}" name="Column25" totalsRowFunction="custom" headerRowDxfId="1168" dataDxfId="1167" totalsRowDxfId="1166">
      <calculatedColumnFormula>IFERROR(Well[[#This Row],[Column30]]/Well[[#This Row],[Column24]],0)</calculatedColumnFormula>
      <totalsRowFormula>IFERROR(Well[[#Totals],[Column30]]/Well[[#Totals],[Column24]],0)</totalsRowFormula>
    </tableColumn>
    <tableColumn id="26" xr3:uid="{4A083C6B-67F1-44F8-9705-FDDEA969705E}" name="Column26" totalsRowFunction="custom" headerRowDxfId="1165" dataDxfId="1164" totalsRowDxfId="1163" dataCellStyle="Percent">
      <calculatedColumnFormula>IFERROR(Well[[#This Row],[Column24]]/Well[[#This Row],[Column19]],0)</calculatedColumnFormula>
      <totalsRowFormula>IFERROR(Well[[#Totals],[Column24]]/Well[[#Totals],[Column19]],0)</totalsRowFormula>
    </tableColumn>
    <tableColumn id="28" xr3:uid="{F7C517C0-FAEB-4608-9DFF-11B0018B137A}" name="Column232" headerRowDxfId="1162" dataDxfId="1161" totalsRowDxfId="1160" dataCellStyle="Percent"/>
  </tableColumns>
  <tableStyleInfo name="TableStyleMedium2"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31DD458E-4EEE-404E-95DF-EEDF50E49A2C}" name="Res" displayName="Res" ref="A9:Z13" headerRowCount="0" totalsRowCount="1" headerRowDxfId="1159" dataDxfId="1158" totalsRowDxfId="1156" tableBorderDxfId="1157">
  <tableColumns count="26">
    <tableColumn id="1" xr3:uid="{E5F85497-B371-4120-9D6E-1F2C81B5FDB5}" name="Column1" headerRowDxfId="1155" dataDxfId="1154" totalsRowDxfId="1153"/>
    <tableColumn id="2" xr3:uid="{EFDD4CF8-805E-4D18-B6BE-ED7517381D8F}" name="Column2" headerRowDxfId="1152" dataDxfId="1151" totalsRowDxfId="1150"/>
    <tableColumn id="3" xr3:uid="{7000BCBB-31D3-4248-B42C-A4AC06E5D54C}" name="Column3" headerRowDxfId="1149" dataDxfId="1148" totalsRowDxfId="1147"/>
    <tableColumn id="4" xr3:uid="{6969A9AD-5C73-422A-BA2C-43F6B079B6F0}" name="Column4" totalsRowLabel="SubTotal" headerRowDxfId="1146" dataDxfId="1145" totalsRowDxfId="1144"/>
    <tableColumn id="5" xr3:uid="{BA6DD238-94ED-4F11-B19F-F2B3E7BA854F}" name="Column5" headerRowDxfId="1143" dataDxfId="1142" totalsRowDxfId="1141"/>
    <tableColumn id="6" xr3:uid="{280A3554-00A2-4B47-B2CD-DCFDD08155FD}" name="Column6" headerRowDxfId="1140" dataDxfId="1139" totalsRowDxfId="1138"/>
    <tableColumn id="33" xr3:uid="{A9FDD691-F99F-403C-8E2B-24AFCD9B6606}" name="Column32" headerRowDxfId="1137" dataDxfId="1136" totalsRowDxfId="1135"/>
    <tableColumn id="32" xr3:uid="{F57B5BC1-30B9-40A4-B149-261FC59B15EB}" name="Column31" headerRowDxfId="1134" dataDxfId="1133" totalsRowDxfId="1132"/>
    <tableColumn id="10" xr3:uid="{F3A65965-0BCF-43CB-8844-43FD4209FCF6}" name="Column10" totalsRowFunction="sum" headerRowDxfId="1131" dataDxfId="1130" totalsRowDxfId="1129">
      <calculatedColumnFormula>Res[[#This Row],[Column11]]+Res[[#This Row],[Column12]]</calculatedColumnFormula>
    </tableColumn>
    <tableColumn id="11" xr3:uid="{333B9BC1-F9D8-4D9F-BDB4-C5C06C1EF9DC}" name="Column11" totalsRowFunction="sum" headerRowDxfId="1128" dataDxfId="1127" totalsRowDxfId="1126"/>
    <tableColumn id="12" xr3:uid="{60503B89-B1BB-4821-B6AC-7DFD72A606EC}" name="Column12" totalsRowFunction="sum" headerRowDxfId="1125" dataDxfId="1124" totalsRowDxfId="1123"/>
    <tableColumn id="13" xr3:uid="{F1CA84E8-5400-49BC-9D0C-9A742CFE70E9}" name="Column13" totalsRowFunction="custom" headerRowDxfId="1122" dataDxfId="1121" totalsRowDxfId="1120" dataCellStyle="Percent">
      <calculatedColumnFormula>IFERROR(J9/I9,0)</calculatedColumnFormula>
      <totalsRowFormula>IFERROR(Res[[#Totals],[Column11]]/Res[[#Totals],[Column10]],0)</totalsRowFormula>
    </tableColumn>
    <tableColumn id="15" xr3:uid="{A65564D1-D4A2-4A93-A5D2-789BB2C05DF3}" name="Column15" totalsRowFunction="sum" headerRowDxfId="1119" dataDxfId="1118" totalsRowDxfId="1117">
      <calculatedColumnFormula>Res[[#This Row],[Column16]]+Res[[#This Row],[Column17]]</calculatedColumnFormula>
    </tableColumn>
    <tableColumn id="16" xr3:uid="{A6DDF812-20BD-488F-BA43-7E8891C59AB3}" name="Column16" totalsRowFunction="sum" headerRowDxfId="1116" dataDxfId="1115" totalsRowDxfId="1114"/>
    <tableColumn id="17" xr3:uid="{C55EF4E7-AED1-400C-8F1A-B2A7150329D4}" name="Column17" totalsRowFunction="sum" headerRowDxfId="1113" dataDxfId="1112" totalsRowDxfId="1111"/>
    <tableColumn id="18" xr3:uid="{EC9BA1AB-9423-4AB4-8D93-AFACAACC3F20}" name="Column18" totalsRowFunction="custom" headerRowDxfId="1110" dataDxfId="1109" totalsRowDxfId="1108" dataCellStyle="Percent">
      <calculatedColumnFormula>IFERROR(N11/M11,0)</calculatedColumnFormula>
      <totalsRowFormula>IFERROR(Res[[#Totals],[Column16]]/Res[[#Totals],[Column15]],0)</totalsRowFormula>
    </tableColumn>
    <tableColumn id="19" xr3:uid="{184CC26C-6291-43F5-A510-6938F700F840}" name="Column19" totalsRowFunction="sum" headerRowDxfId="1107" dataDxfId="1106" totalsRowDxfId="1105">
      <calculatedColumnFormula>Res[[#This Row],[Column20]]+Res[[#This Row],[Column21]]</calculatedColumnFormula>
    </tableColumn>
    <tableColumn id="20" xr3:uid="{D38A106C-DDD9-4614-8E11-7044AB3CD414}" name="Column20" totalsRowFunction="sum" headerRowDxfId="1104" dataDxfId="1103" totalsRowDxfId="1102"/>
    <tableColumn id="21" xr3:uid="{E4E5C909-8D03-4482-B213-B9D6D8BF7D0A}" name="Column21" totalsRowFunction="sum" headerRowDxfId="1101" dataDxfId="1100" totalsRowDxfId="1099"/>
    <tableColumn id="22" xr3:uid="{0E38C2A5-78A1-400E-A0C1-084975883C3A}" name="Column22" totalsRowFunction="custom" headerRowDxfId="1098" dataDxfId="1097" totalsRowDxfId="1096" dataCellStyle="Percent">
      <calculatedColumnFormula>IFERROR(R9/Q9,0)</calculatedColumnFormula>
      <totalsRowFormula>IFERROR(Res[[#Totals],[Column20]]/Res[[#Totals],[Column19]],0)</totalsRowFormula>
    </tableColumn>
    <tableColumn id="24" xr3:uid="{3B55EAC5-B2CD-4C20-A798-D746DE5C0AA6}" name="Column24" totalsRowFunction="sum" headerRowDxfId="1095" dataDxfId="1094" totalsRowDxfId="1093">
      <calculatedColumnFormula>Res[[#This Row],[Column30]]+Res[[#This Row],[Column29]]</calculatedColumnFormula>
    </tableColumn>
    <tableColumn id="30" xr3:uid="{C6B7C706-0317-4747-B29A-F4B986B14111}" name="Column30" totalsRowFunction="sum" headerRowDxfId="1092" dataDxfId="1091" totalsRowDxfId="1090"/>
    <tableColumn id="29" xr3:uid="{7E1ABCFE-9A54-474C-A33A-E32FEBA70DD0}" name="Column29" totalsRowFunction="sum" headerRowDxfId="1089" dataDxfId="1088" totalsRowDxfId="1087"/>
    <tableColumn id="25" xr3:uid="{559275D9-6AA9-42C3-AD3A-DA79CC0E050C}" name="Column25" totalsRowFunction="custom" headerRowDxfId="1086" dataDxfId="1085" totalsRowDxfId="1084">
      <calculatedColumnFormula>IFERROR(Res[[#This Row],[Column30]]/Res[[#This Row],[Column24]],0)</calculatedColumnFormula>
      <totalsRowFormula>IFERROR(Res[[#Totals],[Column30]]/Res[[#Totals],[Column24]],0)</totalsRowFormula>
    </tableColumn>
    <tableColumn id="26" xr3:uid="{6AA2C654-1DE9-4706-8F6B-020ECC69BA46}" name="Column26" totalsRowFunction="custom" headerRowDxfId="1083" dataDxfId="1082" totalsRowDxfId="1081" dataCellStyle="Percent">
      <calculatedColumnFormula>IFERROR(W9/V9,0)</calculatedColumnFormula>
      <totalsRowFormula>IFERROR(Res[[#Totals],[Column24]]/Res[[#Totals],[Column19]],0)</totalsRowFormula>
    </tableColumn>
    <tableColumn id="28" xr3:uid="{AB3B485C-4E5B-4107-A4D3-15974C58CCB5}" name="Column232" headerRowDxfId="1080" dataDxfId="1079" totalsRowDxfId="1078" dataCellStyle="Percent"/>
  </tableColumns>
  <tableStyleInfo name="TableStyleMedium2"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6EFA419C-0DA2-4082-8014-D320AF8A4B12}" name="Exp" displayName="Exp" ref="A9:Z13" headerRowCount="0" totalsRowCount="1" headerRowDxfId="1077" dataDxfId="1076" totalsRowDxfId="1074" tableBorderDxfId="1075">
  <tableColumns count="26">
    <tableColumn id="1" xr3:uid="{0C6DA438-AF0B-4B0E-84E2-1A77D434337F}" name="Column1" headerRowDxfId="1073" dataDxfId="1072" totalsRowDxfId="1071"/>
    <tableColumn id="2" xr3:uid="{58402ED8-0DFC-4D0E-8CED-A2514E995E6B}" name="Column2" headerRowDxfId="1070" dataDxfId="1069" totalsRowDxfId="1068"/>
    <tableColumn id="3" xr3:uid="{A9AEC066-3CBC-430E-83A1-FE083E019217}" name="Column3" headerRowDxfId="1067" dataDxfId="1066" totalsRowDxfId="1065"/>
    <tableColumn id="4" xr3:uid="{BAC0DC56-8271-417E-AC94-99EFFE8CEC41}" name="Column4" totalsRowLabel="SubTotal" headerRowDxfId="1064" dataDxfId="1063" totalsRowDxfId="1062"/>
    <tableColumn id="5" xr3:uid="{08F6EBF5-1B61-4EC3-826A-A0210BFF4258}" name="Column5" headerRowDxfId="1061" dataDxfId="1060" totalsRowDxfId="1059"/>
    <tableColumn id="6" xr3:uid="{09B36D24-C268-48B0-B9DC-1FD6C84CE62B}" name="Column6" headerRowDxfId="1058" dataDxfId="1057" totalsRowDxfId="1056"/>
    <tableColumn id="33" xr3:uid="{7891A474-F2FF-4484-9D53-FB3960AFD40F}" name="Column32" headerRowDxfId="1055" dataDxfId="1054" totalsRowDxfId="1053"/>
    <tableColumn id="32" xr3:uid="{DF065351-E3EE-4EB3-A57D-D51793816A60}" name="Column31" headerRowDxfId="1052" dataDxfId="1051" totalsRowDxfId="1050"/>
    <tableColumn id="10" xr3:uid="{575A5D25-5C51-464F-AC17-06C3DAB8D932}" name="Column10" totalsRowFunction="sum" headerRowDxfId="1049" dataDxfId="1048" totalsRowDxfId="1047">
      <calculatedColumnFormula>Exp[[#This Row],[Column11]]+Exp[[#This Row],[Column12]]</calculatedColumnFormula>
    </tableColumn>
    <tableColumn id="11" xr3:uid="{3DE513D6-4580-4F7F-B6E0-2B1EBDF37F22}" name="Column11" totalsRowFunction="sum" headerRowDxfId="1046" dataDxfId="1045" totalsRowDxfId="1044"/>
    <tableColumn id="12" xr3:uid="{0D9616A1-C0CF-4E06-BC65-3E313570A0BB}" name="Column12" totalsRowFunction="sum" headerRowDxfId="1043" dataDxfId="1042" totalsRowDxfId="1041"/>
    <tableColumn id="13" xr3:uid="{BDACC8A8-7DA0-451A-B9D7-5AC4B06EB810}" name="Column13" totalsRowFunction="custom" headerRowDxfId="1040" dataDxfId="1039" totalsRowDxfId="1038" dataCellStyle="Percent">
      <calculatedColumnFormula>IFERROR(J9/I9,0)</calculatedColumnFormula>
      <totalsRowFormula>IFERROR(Exp[[#Totals],[Column11]]/Exp[[#Totals],[Column10]],0)</totalsRowFormula>
    </tableColumn>
    <tableColumn id="15" xr3:uid="{0B4B1DC8-CB3D-4D1D-838F-8A38E3357481}" name="Column15" totalsRowFunction="sum" headerRowDxfId="1037" dataDxfId="1036" totalsRowDxfId="1035">
      <calculatedColumnFormula>Exp[[#This Row],[Column16]]+Exp[[#This Row],[Column17]]</calculatedColumnFormula>
    </tableColumn>
    <tableColumn id="16" xr3:uid="{73A19870-27CD-4FFD-9862-4A65733B03CF}" name="Column16" totalsRowFunction="sum" headerRowDxfId="1034" dataDxfId="1033" totalsRowDxfId="1032"/>
    <tableColumn id="17" xr3:uid="{6A975758-D5C7-49AF-8ED0-83C2702DB515}" name="Column17" totalsRowFunction="sum" headerRowDxfId="1031" dataDxfId="1030" totalsRowDxfId="1029"/>
    <tableColumn id="18" xr3:uid="{74375C27-4D89-4FD7-B942-E50E3C6B37BE}" name="Column18" totalsRowFunction="custom" headerRowDxfId="1028" dataDxfId="1027" totalsRowDxfId="1026" dataCellStyle="Percent">
      <calculatedColumnFormula>IFERROR(N11/M11,0)</calculatedColumnFormula>
      <totalsRowFormula>IFERROR(Exp[[#Totals],[Column16]]/Exp[[#Totals],[Column15]],0)</totalsRowFormula>
    </tableColumn>
    <tableColumn id="19" xr3:uid="{AF4A2EF3-C38C-4527-AA15-AC1D7350969F}" name="Column19" totalsRowFunction="sum" headerRowDxfId="1025" dataDxfId="1024" totalsRowDxfId="1023">
      <calculatedColumnFormula>Exp[[#This Row],[Column20]]+Exp[[#This Row],[Column21]]</calculatedColumnFormula>
    </tableColumn>
    <tableColumn id="20" xr3:uid="{CFBF9801-FDD6-4937-942A-1A9A6D84377A}" name="Column20" totalsRowFunction="sum" headerRowDxfId="1022" dataDxfId="1021" totalsRowDxfId="1020"/>
    <tableColumn id="21" xr3:uid="{520CB57D-7482-42F4-B555-0342027AD8B3}" name="Column21" totalsRowFunction="sum" headerRowDxfId="1019" dataDxfId="1018" totalsRowDxfId="1017"/>
    <tableColumn id="22" xr3:uid="{7929D3EB-2245-4E77-9BB2-02864A97973A}" name="Column22" totalsRowFunction="custom" headerRowDxfId="1016" dataDxfId="1015" totalsRowDxfId="1014" dataCellStyle="Percent">
      <calculatedColumnFormula>IFERROR(R9/Q9,0)</calculatedColumnFormula>
      <totalsRowFormula>IFERROR(Exp[[#Totals],[Column20]]/Exp[[#Totals],[Column19]],0)</totalsRowFormula>
    </tableColumn>
    <tableColumn id="24" xr3:uid="{597B0C34-10AC-43D4-9E12-73A0C8777337}" name="Column24" totalsRowFunction="sum" headerRowDxfId="1013" dataDxfId="1012" totalsRowDxfId="1011">
      <calculatedColumnFormula>Exp[[#This Row],[Column30]]+Exp[[#This Row],[Column29]]</calculatedColumnFormula>
    </tableColumn>
    <tableColumn id="30" xr3:uid="{8AC2060D-11A1-4E89-A936-0E51C99FC6E0}" name="Column30" totalsRowFunction="sum" headerRowDxfId="1010" dataDxfId="1009" totalsRowDxfId="1008"/>
    <tableColumn id="29" xr3:uid="{A5B99800-3EDE-4897-907F-CE34A2E29568}" name="Column29" totalsRowFunction="sum" headerRowDxfId="1007" dataDxfId="1006" totalsRowDxfId="1005"/>
    <tableColumn id="25" xr3:uid="{781A999B-1E3F-4812-9406-3B65F8056684}" name="Column25" totalsRowFunction="custom" headerRowDxfId="1004" dataDxfId="1003" totalsRowDxfId="1002">
      <calculatedColumnFormula>IFERROR(Exp[[#This Row],[Column30]]/Exp[[#This Row],[Column24]],0)</calculatedColumnFormula>
      <totalsRowFormula>IFERROR(Exp[[#Totals],[Column30]]/Exp[[#Totals],[Column24]],0)</totalsRowFormula>
    </tableColumn>
    <tableColumn id="26" xr3:uid="{23C3FB42-8F08-455E-B82C-10AFF16DE975}" name="Column26" totalsRowFunction="custom" headerRowDxfId="1001" dataDxfId="1000" totalsRowDxfId="999" dataCellStyle="Percent">
      <calculatedColumnFormula>IFERROR(W9/V9,0)</calculatedColumnFormula>
      <totalsRowFormula>IFERROR(Exp[[#Totals],[Column24]]/Exp[[#Totals],[Column19]],0)</totalsRowFormula>
    </tableColumn>
    <tableColumn id="28" xr3:uid="{83FB0CE1-C117-408B-86D2-73E06672EE74}" name="Column232" headerRowDxfId="998" dataDxfId="997" totalsRowDxfId="996" dataCellStyle="Percent"/>
  </tableColumns>
  <tableStyleInfo name="TableStyleMedium2"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EFC2D528-DFC1-45A2-AFAD-63EDA48772BC}" name="Trans" displayName="Trans" ref="A9:Z13" headerRowCount="0" totalsRowCount="1" headerRowDxfId="995" dataDxfId="994" totalsRowDxfId="992" tableBorderDxfId="993">
  <tableColumns count="26">
    <tableColumn id="1" xr3:uid="{A3AEF01E-CC81-4263-9A86-81047AD6FE43}" name="Column1" headerRowDxfId="991" dataDxfId="990" totalsRowDxfId="989"/>
    <tableColumn id="2" xr3:uid="{1C98AA62-FE42-445E-8B76-28F55A06F9C4}" name="Column2" headerRowDxfId="988" dataDxfId="987" totalsRowDxfId="986"/>
    <tableColumn id="3" xr3:uid="{EA9ADE59-8D40-4702-BB86-B16B431A4913}" name="Column3" headerRowDxfId="985" dataDxfId="984" totalsRowDxfId="983"/>
    <tableColumn id="4" xr3:uid="{DDC2BBDA-1E94-4207-ACE4-19F7F0961B8F}" name="Column4" totalsRowLabel="SubTotal" headerRowDxfId="982" dataDxfId="981" totalsRowDxfId="980"/>
    <tableColumn id="5" xr3:uid="{C31D753A-F131-4110-B631-50274773D42D}" name="Column5" headerRowDxfId="979" dataDxfId="978" totalsRowDxfId="977"/>
    <tableColumn id="6" xr3:uid="{39D4CA5D-89CD-4976-A66A-E8A7CC6F1C47}" name="Column6" headerRowDxfId="976" dataDxfId="975" totalsRowDxfId="974"/>
    <tableColumn id="33" xr3:uid="{735A834F-BF17-4DB7-ADB3-11B787D08AEE}" name="Column32" headerRowDxfId="973" dataDxfId="972" totalsRowDxfId="971"/>
    <tableColumn id="32" xr3:uid="{8EC7CAB7-AF19-4275-AA4E-FAFA8527D062}" name="Column31" headerRowDxfId="970" dataDxfId="969" totalsRowDxfId="968"/>
    <tableColumn id="10" xr3:uid="{0824E3D6-356E-4314-A264-9EC1BC8B32BD}" name="Column10" totalsRowFunction="sum" headerRowDxfId="967" dataDxfId="966" totalsRowDxfId="965">
      <calculatedColumnFormula>Trans[[#This Row],[Column11]]+Trans[[#This Row],[Column12]]</calculatedColumnFormula>
    </tableColumn>
    <tableColumn id="11" xr3:uid="{01E054E5-505C-48FA-B2E4-7E5A4B1ECA74}" name="Column11" totalsRowFunction="sum" headerRowDxfId="964" dataDxfId="963" totalsRowDxfId="962"/>
    <tableColumn id="12" xr3:uid="{525ED050-BE17-4EA8-A818-B6019A2A8270}" name="Column12" totalsRowFunction="sum" headerRowDxfId="961" dataDxfId="960" totalsRowDxfId="959"/>
    <tableColumn id="13" xr3:uid="{98EDC518-8FF9-4404-9264-9062E97754F6}" name="Column13" totalsRowFunction="custom" headerRowDxfId="958" dataDxfId="957" totalsRowDxfId="956" dataCellStyle="Percent">
      <calculatedColumnFormula>IFERROR(J9/I9,0)</calculatedColumnFormula>
      <totalsRowFormula>IFERROR(Trans[[#Totals],[Column11]]/Trans[[#Totals],[Column10]],0)</totalsRowFormula>
    </tableColumn>
    <tableColumn id="15" xr3:uid="{057A8B47-6FFE-4D16-8609-E64C6FF9BBD6}" name="Column15" totalsRowFunction="sum" headerRowDxfId="955" dataDxfId="954" totalsRowDxfId="953">
      <calculatedColumnFormula>Trans[[#This Row],[Column16]]+Trans[[#This Row],[Column17]]</calculatedColumnFormula>
    </tableColumn>
    <tableColumn id="16" xr3:uid="{A4F97BFC-40A1-4AD1-ABE3-66FD412D8981}" name="Column16" totalsRowFunction="sum" headerRowDxfId="952" dataDxfId="951" totalsRowDxfId="950"/>
    <tableColumn id="17" xr3:uid="{50E3F7B2-1DD4-44D3-9936-4923F68A1F6E}" name="Column17" totalsRowFunction="sum" headerRowDxfId="949" dataDxfId="948" totalsRowDxfId="947"/>
    <tableColumn id="18" xr3:uid="{3FE8CF3D-83A4-4BEA-B539-7380A822F59A}" name="Column18" totalsRowFunction="custom" headerRowDxfId="946" dataDxfId="945" totalsRowDxfId="944" dataCellStyle="Percent">
      <calculatedColumnFormula>IFERROR(N9/M9,0)</calculatedColumnFormula>
      <totalsRowFormula>IFERROR(Trans[[#Totals],[Column16]]/Trans[[#Totals],[Column15]],0)</totalsRowFormula>
    </tableColumn>
    <tableColumn id="19" xr3:uid="{6278B1E0-60F9-4649-BA9B-BF2355B9B331}" name="Column19" totalsRowFunction="sum" headerRowDxfId="943" dataDxfId="942" totalsRowDxfId="941">
      <calculatedColumnFormula>Trans[[#This Row],[Column20]]+Trans[[#This Row],[Column21]]</calculatedColumnFormula>
    </tableColumn>
    <tableColumn id="20" xr3:uid="{FED55A96-9276-402E-85BF-CA4F3C2993DB}" name="Column20" totalsRowFunction="sum" headerRowDxfId="940" dataDxfId="939" totalsRowDxfId="938"/>
    <tableColumn id="21" xr3:uid="{B75450FD-CE40-499B-B70F-182CD54ACD02}" name="Column21" totalsRowFunction="sum" headerRowDxfId="937" dataDxfId="936" totalsRowDxfId="935"/>
    <tableColumn id="22" xr3:uid="{9C22855A-B708-4055-B314-6C73D24F6D48}" name="Column22" totalsRowFunction="custom" headerRowDxfId="934" dataDxfId="933" totalsRowDxfId="932" dataCellStyle="Percent">
      <calculatedColumnFormula>IFERROR(R9/Q9,0)</calculatedColumnFormula>
      <totalsRowFormula>IFERROR(Trans[[#Totals],[Column20]]/Trans[[#Totals],[Column19]],0)</totalsRowFormula>
    </tableColumn>
    <tableColumn id="24" xr3:uid="{4B908C0F-A1BA-4E4B-8394-9CA57837F2C1}" name="Column24" totalsRowFunction="sum" headerRowDxfId="931" dataDxfId="930" totalsRowDxfId="929">
      <calculatedColumnFormula>Trans[[#This Row],[Column30]]+Trans[[#This Row],[Column29]]</calculatedColumnFormula>
    </tableColumn>
    <tableColumn id="30" xr3:uid="{E0066A13-C0D1-493C-B455-9D3566F1D76A}" name="Column30" totalsRowFunction="sum" headerRowDxfId="928" dataDxfId="927" totalsRowDxfId="926"/>
    <tableColumn id="29" xr3:uid="{023E74B6-44F9-41A4-9051-0B5E1D965A71}" name="Column29" totalsRowFunction="sum" headerRowDxfId="925" dataDxfId="924" totalsRowDxfId="923"/>
    <tableColumn id="25" xr3:uid="{9037A88A-A9D7-405C-B077-AA8F4FA7B704}" name="Column25" totalsRowFunction="custom" headerRowDxfId="922" dataDxfId="921" totalsRowDxfId="920">
      <calculatedColumnFormula>IFERROR(Trans[[#This Row],[Column30]]/Trans[[#This Row],[Column24]],0)</calculatedColumnFormula>
      <totalsRowFormula>IFERROR(Trans[[#Totals],[Column30]]/Trans[[#Totals],[Column24]],0)</totalsRowFormula>
    </tableColumn>
    <tableColumn id="26" xr3:uid="{9BD09107-F23F-406C-B56E-35F9189C5E92}" name="Column26" totalsRowFunction="custom" headerRowDxfId="919" dataDxfId="918" totalsRowDxfId="917" dataCellStyle="Percent">
      <calculatedColumnFormula>IFERROR(W9/V9,0)</calculatedColumnFormula>
      <totalsRowFormula>IFERROR(Trans[[#Totals],[Column24]]/Trans[[#Totals],[Column19]],0)</totalsRowFormula>
    </tableColumn>
    <tableColumn id="28" xr3:uid="{8D768D19-F58D-437E-AF9E-90292FFC9343}" name="Column232" headerRowDxfId="916" dataDxfId="915" totalsRowDxfId="914" dataCellStyle="Percent"/>
  </tableColumns>
  <tableStyleInfo name="TableStyleMedium2"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E1D91FCF-D1CA-4A4C-A2EF-10BA47D91E8B}" name="Health" displayName="Health" ref="A9:Z13" headerRowCount="0" totalsRowCount="1" headerRowDxfId="913" dataDxfId="912" totalsRowDxfId="910" tableBorderDxfId="911">
  <tableColumns count="26">
    <tableColumn id="1" xr3:uid="{F6E68FE5-406A-46B8-A4E5-DA320816429F}" name="Column1" headerRowDxfId="909" dataDxfId="908" totalsRowDxfId="907"/>
    <tableColumn id="2" xr3:uid="{C50B6E97-ACDE-406D-A502-0299395F53BA}" name="Column2" headerRowDxfId="906" dataDxfId="905" totalsRowDxfId="904"/>
    <tableColumn id="3" xr3:uid="{7D8F32DD-64FB-44D0-9EA4-DD94FB982023}" name="Column3" headerRowDxfId="903" dataDxfId="902" totalsRowDxfId="901"/>
    <tableColumn id="4" xr3:uid="{66C84526-5A8F-46BC-ABFE-3A8CE8AB8687}" name="Column4" totalsRowLabel="SubTotal" headerRowDxfId="900" dataDxfId="899" totalsRowDxfId="898"/>
    <tableColumn id="5" xr3:uid="{E0F867BB-22C5-4A5C-B63B-9B132B54FBF5}" name="Column5" headerRowDxfId="897" dataDxfId="896" totalsRowDxfId="895"/>
    <tableColumn id="6" xr3:uid="{67B396C1-6719-4402-8BDE-8F856BD4EFBF}" name="Column6" headerRowDxfId="894" dataDxfId="893" totalsRowDxfId="892"/>
    <tableColumn id="33" xr3:uid="{41833B5E-2AEC-44C3-AA5D-494F51F89685}" name="Column32" headerRowDxfId="891" dataDxfId="890" totalsRowDxfId="889"/>
    <tableColumn id="32" xr3:uid="{A5C8ADE2-E0DE-45E3-BDF4-C86230482F1F}" name="Column31" headerRowDxfId="888" dataDxfId="887" totalsRowDxfId="886"/>
    <tableColumn id="10" xr3:uid="{3AD9B5AE-937D-4174-8724-73B62BB8A0DE}" name="Column10" totalsRowFunction="sum" headerRowDxfId="885" dataDxfId="884" totalsRowDxfId="883">
      <calculatedColumnFormula>Health[[#This Row],[Column11]]+Health[[#This Row],[Column12]]</calculatedColumnFormula>
    </tableColumn>
    <tableColumn id="11" xr3:uid="{F8E64305-AAB7-4E58-B7DD-F749CFB7DA12}" name="Column11" totalsRowFunction="sum" headerRowDxfId="882" dataDxfId="881" totalsRowDxfId="880"/>
    <tableColumn id="12" xr3:uid="{5F62C965-E98B-49F5-B9AE-0DAE8E11ABA3}" name="Column12" totalsRowFunction="sum" headerRowDxfId="879" dataDxfId="878" totalsRowDxfId="877"/>
    <tableColumn id="13" xr3:uid="{B69D1F08-ED2D-40F2-97CF-710770AE1A83}" name="Column13" totalsRowFunction="custom" headerRowDxfId="876" dataDxfId="875" totalsRowDxfId="874" dataCellStyle="Percent">
      <calculatedColumnFormula>IFERROR(J9/I9,0)</calculatedColumnFormula>
      <totalsRowFormula>IFERROR(Health[[#Totals],[Column11]]/Health[[#Totals],[Column10]],0)</totalsRowFormula>
    </tableColumn>
    <tableColumn id="15" xr3:uid="{B32C37B0-E661-44D2-8983-CD82C3B3B1AF}" name="Column15" totalsRowFunction="sum" headerRowDxfId="873" dataDxfId="872" totalsRowDxfId="871">
      <calculatedColumnFormula>Health[[#This Row],[Column16]]+Health[[#This Row],[Column17]]</calculatedColumnFormula>
    </tableColumn>
    <tableColumn id="16" xr3:uid="{60935044-DB57-48B7-B1E8-94CF5EB37399}" name="Column16" totalsRowFunction="sum" headerRowDxfId="870" dataDxfId="869" totalsRowDxfId="868"/>
    <tableColumn id="17" xr3:uid="{EDE8D095-ED77-4560-A26D-58AEBBB7094D}" name="Column17" totalsRowFunction="sum" headerRowDxfId="867" dataDxfId="866" totalsRowDxfId="865"/>
    <tableColumn id="18" xr3:uid="{2C9D5095-D10E-40F5-8682-B7F38EA973F8}" name="Column18" totalsRowFunction="custom" headerRowDxfId="864" dataDxfId="863" totalsRowDxfId="862" dataCellStyle="Percent">
      <calculatedColumnFormula>IFERROR(N11/M11,0)</calculatedColumnFormula>
      <totalsRowFormula>IFERROR(Health[[#Totals],[Column16]]/Health[[#Totals],[Column15]],0)</totalsRowFormula>
    </tableColumn>
    <tableColumn id="19" xr3:uid="{A40C2A11-EFAE-41D3-8E55-A3D8F26A8B36}" name="Column19" totalsRowFunction="sum" headerRowDxfId="861" dataDxfId="860" totalsRowDxfId="859">
      <calculatedColumnFormula>Health[[#This Row],[Column20]]+Health[[#This Row],[Column21]]</calculatedColumnFormula>
    </tableColumn>
    <tableColumn id="20" xr3:uid="{AB654FE0-5895-48F2-BBB9-708DC94681FF}" name="Column20" totalsRowFunction="sum" headerRowDxfId="858" dataDxfId="857" totalsRowDxfId="856"/>
    <tableColumn id="21" xr3:uid="{DDFB2860-78CA-4E88-968E-7D5D0C745603}" name="Column21" totalsRowFunction="sum" headerRowDxfId="855" dataDxfId="854" totalsRowDxfId="853"/>
    <tableColumn id="22" xr3:uid="{4470C145-72E2-4EA5-9142-DAA2A20972F2}" name="Column22" totalsRowFunction="custom" headerRowDxfId="852" dataDxfId="851" totalsRowDxfId="850" dataCellStyle="Percent">
      <calculatedColumnFormula>IFERROR(R9/Q9,0)</calculatedColumnFormula>
      <totalsRowFormula>IFERROR(Health[[#Totals],[Column20]]/Health[[#Totals],[Column19]],0)</totalsRowFormula>
    </tableColumn>
    <tableColumn id="24" xr3:uid="{3039DF63-33F1-485C-B015-3B5CCF44D3FB}" name="Column24" totalsRowFunction="sum" headerRowDxfId="849" dataDxfId="848" totalsRowDxfId="847">
      <calculatedColumnFormula>Health[[#This Row],[Column30]]+Health[[#This Row],[Column29]]</calculatedColumnFormula>
    </tableColumn>
    <tableColumn id="30" xr3:uid="{F69178D1-D288-4F69-A3C9-3996CC6F177F}" name="Column30" totalsRowFunction="sum" headerRowDxfId="846" dataDxfId="845" totalsRowDxfId="844"/>
    <tableColumn id="29" xr3:uid="{15875BAF-8086-4C46-8F5C-750D94A2126E}" name="Column29" totalsRowFunction="sum" headerRowDxfId="843" dataDxfId="842" totalsRowDxfId="841"/>
    <tableColumn id="25" xr3:uid="{39063014-4E45-44B2-AD4C-06B5E534B0CA}" name="Column25" totalsRowFunction="custom" headerRowDxfId="840" dataDxfId="839" totalsRowDxfId="838">
      <calculatedColumnFormula>IFERROR(Health[[#This Row],[Column30]]/Health[[#This Row],[Column24]],0)</calculatedColumnFormula>
      <totalsRowFormula>IFERROR(Health[[#Totals],[Column30]]/Health[[#Totals],[Column24]],0)</totalsRowFormula>
    </tableColumn>
    <tableColumn id="26" xr3:uid="{A2EF7191-A549-4ED9-81B2-2D3D2C3C6410}" name="Column26" totalsRowFunction="custom" headerRowDxfId="837" dataDxfId="836" totalsRowDxfId="835" dataCellStyle="Percent">
      <calculatedColumnFormula>IFERROR(W9/V9,0)</calculatedColumnFormula>
      <totalsRowFormula>IFERROR(Health[[#Totals],[Column24]]/Health[[#Totals],[Column19]],0)</totalsRowFormula>
    </tableColumn>
    <tableColumn id="28" xr3:uid="{9BA08BB2-0A45-49B7-A0C8-400219C71E0C}" name="Column232" headerRowDxfId="834" dataDxfId="833" totalsRowDxfId="832" dataCellStyle="Percent"/>
  </tableColumns>
  <tableStyleInfo name="TableStyleMedium2"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FD82E48F-3D85-4278-94EF-27A23B3F6A5D}" name="Info" displayName="Info" ref="A9:Z13" headerRowCount="0" totalsRowCount="1" headerRowDxfId="831" dataDxfId="830" totalsRowDxfId="828" tableBorderDxfId="829">
  <tableColumns count="26">
    <tableColumn id="1" xr3:uid="{FAF697A3-2980-40A9-AF6A-A29A0D780A22}" name="Column1" headerRowDxfId="827" dataDxfId="826" totalsRowDxfId="825"/>
    <tableColumn id="2" xr3:uid="{09626186-DFA0-47CB-AB41-54018E4170E8}" name="Column2" headerRowDxfId="824" dataDxfId="823" totalsRowDxfId="822"/>
    <tableColumn id="3" xr3:uid="{80CEA149-EA77-4E90-B1CA-24D3D39ED04C}" name="Column3" headerRowDxfId="821" dataDxfId="820" totalsRowDxfId="819"/>
    <tableColumn id="4" xr3:uid="{38E19A56-22A2-4432-89C7-AEEB8CDE4FA0}" name="Column4" totalsRowLabel="SubTotal" headerRowDxfId="818" dataDxfId="817" totalsRowDxfId="816"/>
    <tableColumn id="5" xr3:uid="{4A3BD9EF-D430-4FE6-81EE-374A897BAC09}" name="Column5" headerRowDxfId="815" dataDxfId="814" totalsRowDxfId="813"/>
    <tableColumn id="6" xr3:uid="{DEA9F5ED-259C-45CB-B0E4-C6B9336D7D35}" name="Column6" headerRowDxfId="812" dataDxfId="811" totalsRowDxfId="810"/>
    <tableColumn id="33" xr3:uid="{637A8E40-FE09-4ADD-BC22-CC970033BC19}" name="Column32" headerRowDxfId="809" dataDxfId="808" totalsRowDxfId="807"/>
    <tableColumn id="32" xr3:uid="{B9FAC98C-6DFB-415F-97E1-FFB284C19F1B}" name="Column31" headerRowDxfId="806" dataDxfId="805" totalsRowDxfId="804"/>
    <tableColumn id="10" xr3:uid="{D37A19BC-A86E-40F3-A01C-15D280069E4D}" name="Column10" totalsRowFunction="sum" headerRowDxfId="803" dataDxfId="802" totalsRowDxfId="801">
      <calculatedColumnFormula>Info[[#This Row],[Column11]]+Info[[#This Row],[Column12]]</calculatedColumnFormula>
    </tableColumn>
    <tableColumn id="11" xr3:uid="{B2E62823-5989-4E63-ABB5-4301950DA402}" name="Column11" totalsRowFunction="sum" headerRowDxfId="800" dataDxfId="799" totalsRowDxfId="798"/>
    <tableColumn id="12" xr3:uid="{6152D39F-13CF-4B68-8079-0BE2693E1B93}" name="Column12" totalsRowFunction="sum" headerRowDxfId="797" dataDxfId="796" totalsRowDxfId="795"/>
    <tableColumn id="13" xr3:uid="{05C9CC8A-F299-485C-ABE6-F2F148D23CD3}" name="Column13" totalsRowFunction="custom" headerRowDxfId="794" dataDxfId="793" totalsRowDxfId="792" dataCellStyle="Percent">
      <calculatedColumnFormula>IFERROR(J9/I9,0)</calculatedColumnFormula>
      <totalsRowFormula>IFERROR(Info[[#Totals],[Column11]]/Info[[#Totals],[Column10]],0)</totalsRowFormula>
    </tableColumn>
    <tableColumn id="15" xr3:uid="{18F1C38F-3488-4265-A48A-1B411F583167}" name="Column15" totalsRowFunction="sum" headerRowDxfId="791" dataDxfId="790" totalsRowDxfId="789">
      <calculatedColumnFormula>Info[[#This Row],[Column16]]+Info[[#This Row],[Column17]]</calculatedColumnFormula>
    </tableColumn>
    <tableColumn id="16" xr3:uid="{6AD47781-DCB1-4392-B24F-EE3624BB1175}" name="Column16" totalsRowFunction="sum" headerRowDxfId="788" dataDxfId="787" totalsRowDxfId="786"/>
    <tableColumn id="17" xr3:uid="{8186880B-D20B-4E88-BE3D-DEE09D0836FD}" name="Column17" totalsRowFunction="sum" headerRowDxfId="785" dataDxfId="784" totalsRowDxfId="783"/>
    <tableColumn id="18" xr3:uid="{50D08F5F-A903-4B26-9990-6F39E34676DE}" name="Column18" totalsRowFunction="custom" headerRowDxfId="782" dataDxfId="781" totalsRowDxfId="780" dataCellStyle="Percent">
      <calculatedColumnFormula>IFERROR(N11/M11,0)</calculatedColumnFormula>
      <totalsRowFormula>IFERROR(Info[[#Totals],[Column16]]/Info[[#Totals],[Column15]],0)</totalsRowFormula>
    </tableColumn>
    <tableColumn id="19" xr3:uid="{719BBF6C-D38E-4102-8B39-D8CDE956F2F3}" name="Column19" totalsRowFunction="sum" headerRowDxfId="779" dataDxfId="778" totalsRowDxfId="777">
      <calculatedColumnFormula>Info[[#This Row],[Column20]]+Info[[#This Row],[Column21]]</calculatedColumnFormula>
    </tableColumn>
    <tableColumn id="20" xr3:uid="{81D4261C-AD3E-42BC-8F15-A9F5C924E0F6}" name="Column20" totalsRowFunction="sum" headerRowDxfId="776" dataDxfId="775" totalsRowDxfId="774"/>
    <tableColumn id="21" xr3:uid="{9820C228-2458-4BF1-BCCE-2D04396DB6C6}" name="Column21" totalsRowFunction="sum" headerRowDxfId="773" dataDxfId="772" totalsRowDxfId="771"/>
    <tableColumn id="22" xr3:uid="{72F94F4F-7B55-4E3E-A8A1-0161D97EF779}" name="Column22" totalsRowFunction="custom" headerRowDxfId="770" dataDxfId="769" totalsRowDxfId="768" dataCellStyle="Percent">
      <calculatedColumnFormula>IFERROR(R9/Q9,0)</calculatedColumnFormula>
      <totalsRowFormula>IFERROR(Info[[#Totals],[Column20]]/Info[[#Totals],[Column19]],0)</totalsRowFormula>
    </tableColumn>
    <tableColumn id="24" xr3:uid="{9C57F2BF-3425-4BD3-8263-115F1E648EBA}" name="Column24" totalsRowFunction="sum" headerRowDxfId="767" dataDxfId="766" totalsRowDxfId="765">
      <calculatedColumnFormula>Info[[#This Row],[Column30]]+Info[[#This Row],[Column29]]</calculatedColumnFormula>
    </tableColumn>
    <tableColumn id="30" xr3:uid="{A217EF94-7532-4BC1-A250-595F9D52D5E6}" name="Column30" totalsRowFunction="sum" headerRowDxfId="764" dataDxfId="763" totalsRowDxfId="762"/>
    <tableColumn id="29" xr3:uid="{68074428-D8D6-460C-8979-1D2EF3D367BC}" name="Column29" totalsRowFunction="sum" headerRowDxfId="761" dataDxfId="760" totalsRowDxfId="759"/>
    <tableColumn id="25" xr3:uid="{47770D35-CDAC-4B2E-B740-96F7AD657221}" name="Column25" totalsRowFunction="custom" headerRowDxfId="758" dataDxfId="757" totalsRowDxfId="756">
      <calculatedColumnFormula>IFERROR(Info[[#This Row],[Column30]]/Info[[#This Row],[Column24]],0)</calculatedColumnFormula>
      <totalsRowFormula>IFERROR(Info[[#Totals],[Column30]]/Info[[#Totals],[Column24]],0)</totalsRowFormula>
    </tableColumn>
    <tableColumn id="26" xr3:uid="{E185A9CB-4C85-4F82-82B4-51724AEB7E98}" name="Column26" totalsRowFunction="custom" headerRowDxfId="755" dataDxfId="754" totalsRowDxfId="753" dataCellStyle="Percent">
      <calculatedColumnFormula>IFERROR(W9/V9,0)</calculatedColumnFormula>
      <totalsRowFormula>IFERROR(Info[[#Totals],[Column24]]/Info[[#Totals],[Column19]],0)</totalsRowFormula>
    </tableColumn>
    <tableColumn id="28" xr3:uid="{F151A732-1885-4BCF-8E8D-F5591F968373}" name="Column232" headerRowDxfId="752" dataDxfId="751" totalsRowDxfId="750" dataCellStyle="Percent"/>
  </tableColumns>
  <tableStyleInfo name="TableStyleMedium2"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59B1A4E-7A49-48B0-BE9C-8918D2E07547}" name="Mar" displayName="Mar" ref="A9:Z13" headerRowCount="0" totalsRowCount="1" headerRowDxfId="749" dataDxfId="748" totalsRowDxfId="746" tableBorderDxfId="747">
  <tableColumns count="26">
    <tableColumn id="1" xr3:uid="{A73E479F-63E5-4FE1-9129-5E7C5E819BC3}" name="Column1" headerRowDxfId="745" dataDxfId="744" totalsRowDxfId="743"/>
    <tableColumn id="2" xr3:uid="{007169C0-30BD-461E-B4B1-49E6B918114C}" name="Column2" headerRowDxfId="742" dataDxfId="741" totalsRowDxfId="740"/>
    <tableColumn id="3" xr3:uid="{2CE630D9-4189-4643-AE3A-794EC53B25EB}" name="Column3" headerRowDxfId="739" dataDxfId="738" totalsRowDxfId="737"/>
    <tableColumn id="4" xr3:uid="{A2847475-1052-4C18-9E94-B4B2611EBE3C}" name="Column4" totalsRowLabel="SubTotal" headerRowDxfId="736" dataDxfId="735" totalsRowDxfId="734"/>
    <tableColumn id="5" xr3:uid="{079833BD-A417-435F-A886-BB396583CCB7}" name="Column5" headerRowDxfId="733" dataDxfId="732" totalsRowDxfId="731"/>
    <tableColumn id="6" xr3:uid="{724D1F54-E1DF-46AF-BE6F-62C398A1689F}" name="Column6" headerRowDxfId="730" dataDxfId="729" totalsRowDxfId="728"/>
    <tableColumn id="33" xr3:uid="{668D7BBE-4512-4F28-95BE-C18D415786CB}" name="Column32" headerRowDxfId="727" dataDxfId="726" totalsRowDxfId="725"/>
    <tableColumn id="32" xr3:uid="{0D76ABD4-4291-4E5A-A33E-D36E9EB667F0}" name="Column31" headerRowDxfId="724" dataDxfId="723" totalsRowDxfId="722"/>
    <tableColumn id="10" xr3:uid="{36C5608A-CB37-4144-81B7-9124914F0FC7}" name="Column10" totalsRowFunction="sum" headerRowDxfId="721" dataDxfId="720" totalsRowDxfId="719">
      <calculatedColumnFormula>Mar[[#This Row],[Column11]]+Mar[[#This Row],[Column12]]</calculatedColumnFormula>
    </tableColumn>
    <tableColumn id="11" xr3:uid="{E8A8BA40-612B-458B-B8B6-FB315FB5925F}" name="Column11" totalsRowFunction="sum" headerRowDxfId="718" dataDxfId="717" totalsRowDxfId="716"/>
    <tableColumn id="12" xr3:uid="{CA14EACC-B57F-4A88-9559-803A9834041A}" name="Column12" totalsRowFunction="sum" headerRowDxfId="715" dataDxfId="714" totalsRowDxfId="713"/>
    <tableColumn id="13" xr3:uid="{56D35A54-C97B-4D17-A5BB-B981B89C669A}" name="Column13" totalsRowFunction="custom" headerRowDxfId="712" dataDxfId="711" totalsRowDxfId="710" dataCellStyle="Percent">
      <calculatedColumnFormula>IFERROR(J9/I9,0)</calculatedColumnFormula>
      <totalsRowFormula>IFERROR(Mar[[#Totals],[Column11]]/Mar[[#Totals],[Column10]],0)</totalsRowFormula>
    </tableColumn>
    <tableColumn id="15" xr3:uid="{4B9334F8-30A3-4EF2-A224-29D04D16E4A5}" name="Column15" totalsRowFunction="sum" headerRowDxfId="709" dataDxfId="708" totalsRowDxfId="707">
      <calculatedColumnFormula>Mar[[#This Row],[Column16]]+Mar[[#This Row],[Column17]]</calculatedColumnFormula>
    </tableColumn>
    <tableColumn id="16" xr3:uid="{8C1F63D2-F10B-4B39-9169-E6D162BD8154}" name="Column16" totalsRowFunction="sum" headerRowDxfId="706" dataDxfId="705" totalsRowDxfId="704"/>
    <tableColumn id="17" xr3:uid="{C5484EDE-9595-4B33-8673-753A13AD178E}" name="Column17" totalsRowFunction="sum" headerRowDxfId="703" dataDxfId="702" totalsRowDxfId="701"/>
    <tableColumn id="18" xr3:uid="{B1857A1B-DE27-4A50-8301-559D763C756D}" name="Column18" totalsRowFunction="custom" headerRowDxfId="700" dataDxfId="699" totalsRowDxfId="698" dataCellStyle="Percent">
      <calculatedColumnFormula>IFERROR(N11/M11,0)</calculatedColumnFormula>
      <totalsRowFormula>IFERROR(Mar[[#Totals],[Column16]]/Mar[[#Totals],[Column15]],0)</totalsRowFormula>
    </tableColumn>
    <tableColumn id="19" xr3:uid="{CA8EB5DD-4972-4BE9-A230-30BA715AA249}" name="Column19" totalsRowFunction="sum" headerRowDxfId="697" dataDxfId="696" totalsRowDxfId="695">
      <calculatedColumnFormula>Mar[[#This Row],[Column20]]+Mar[[#This Row],[Column21]]</calculatedColumnFormula>
    </tableColumn>
    <tableColumn id="20" xr3:uid="{F0BB9E6B-F21F-43E1-8F73-850BC184A34A}" name="Column20" totalsRowFunction="sum" headerRowDxfId="694" dataDxfId="693" totalsRowDxfId="692"/>
    <tableColumn id="21" xr3:uid="{3C6E52FB-8A36-4F4A-92A8-E12ECC8E655F}" name="Column21" totalsRowFunction="sum" headerRowDxfId="691" dataDxfId="690" totalsRowDxfId="689"/>
    <tableColumn id="22" xr3:uid="{5C2B4742-4438-4EF1-9E8C-3F55486DDFFD}" name="Column22" totalsRowFunction="custom" headerRowDxfId="688" dataDxfId="687" totalsRowDxfId="686" dataCellStyle="Percent">
      <calculatedColumnFormula>IFERROR(R9/Q9,0)</calculatedColumnFormula>
      <totalsRowFormula>IFERROR(Mar[[#Totals],[Column20]]/Mar[[#Totals],[Column19]],0)</totalsRowFormula>
    </tableColumn>
    <tableColumn id="24" xr3:uid="{505B7F0D-44F5-4BF0-AC8C-0D1D85F14712}" name="Column24" totalsRowFunction="sum" headerRowDxfId="685" dataDxfId="684" totalsRowDxfId="683">
      <calculatedColumnFormula>Mar[[#This Row],[Column30]]+Mar[[#This Row],[Column29]]</calculatedColumnFormula>
    </tableColumn>
    <tableColumn id="30" xr3:uid="{34C95E7E-5A29-44BD-A1AD-F2F66B36490D}" name="Column30" totalsRowFunction="sum" headerRowDxfId="682" dataDxfId="681" totalsRowDxfId="680"/>
    <tableColumn id="29" xr3:uid="{591FF038-E203-465C-8F86-B1C73361229A}" name="Column29" totalsRowFunction="sum" headerRowDxfId="679" dataDxfId="678" totalsRowDxfId="677"/>
    <tableColumn id="25" xr3:uid="{BECD81FF-9966-4B84-8732-3745E5873614}" name="Column25" totalsRowFunction="custom" headerRowDxfId="676" dataDxfId="675" totalsRowDxfId="674">
      <calculatedColumnFormula>IFERROR(Mar[[#This Row],[Column30]]/Mar[[#This Row],[Column24]],0)</calculatedColumnFormula>
      <totalsRowFormula>IFERROR(Mar[[#Totals],[Column30]]/Mar[[#Totals],[Column24]],0)</totalsRowFormula>
    </tableColumn>
    <tableColumn id="26" xr3:uid="{2830D835-3E10-472D-A5A5-A3484D43E530}" name="Column26" totalsRowFunction="custom" headerRowDxfId="673" dataDxfId="672" totalsRowDxfId="671" dataCellStyle="Percent">
      <calculatedColumnFormula>IFERROR(W9/V9,0)</calculatedColumnFormula>
      <totalsRowFormula>IFERROR(Mar[[#Totals],[Column24]]/Mar[[#Totals],[Column19]],0)</totalsRowFormula>
    </tableColumn>
    <tableColumn id="28" xr3:uid="{C400E1D7-3967-44BF-BBC2-4720BD5D6BAB}" name="Column232" headerRowDxfId="670" dataDxfId="669" totalsRowDxfId="668" dataCellStyle="Percent"/>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0AACC5B-96FE-45C7-9A84-FECDD0E266BF}" name="Engineering68805" displayName="Engineering68805" ref="C25:S29" headerRowCount="0" totalsRowCount="1" headerRowDxfId="2449" dataDxfId="2448" totalsRowDxfId="2446" tableBorderDxfId="2447">
  <tableColumns count="17">
    <tableColumn id="1" xr3:uid="{7D6A5809-CA0E-4C50-B925-392EBA0CC957}" name="Column1" headerRowDxfId="2445" dataDxfId="2444" totalsRowDxfId="2443"/>
    <tableColumn id="2" xr3:uid="{5F5A627B-E501-482F-9FF9-0B01E4E6C36E}" name="Column2" headerRowDxfId="2442" dataDxfId="2441" totalsRowDxfId="2440"/>
    <tableColumn id="3" xr3:uid="{FE6061D7-D659-4F1B-BE4B-BCA92AB4EF74}" name="Column3" headerRowDxfId="2439" dataDxfId="2438" totalsRowDxfId="2437"/>
    <tableColumn id="4" xr3:uid="{34F38A49-C397-412E-A01F-A1C12BE1E181}" name="Column4" headerRowDxfId="2436" dataDxfId="2435" totalsRowDxfId="2434"/>
    <tableColumn id="5" xr3:uid="{B9F795EC-B9DC-4C95-BF82-D65601A80D4D}" name="Column5" headerRowDxfId="2433" dataDxfId="2432" totalsRowDxfId="2431"/>
    <tableColumn id="6" xr3:uid="{28DE0D61-7BBD-4DDC-9A71-85D509F7D948}" name="Column6" headerRowDxfId="2430" dataDxfId="2429" totalsRowDxfId="2428"/>
    <tableColumn id="7" xr3:uid="{BF01512E-1D49-44B0-95E7-462B375E3EBC}" name="Column7" totalsRowFunction="sum" headerRowDxfId="2427" dataDxfId="2426" totalsRowDxfId="2425">
      <calculatedColumnFormula>J25+K25</calculatedColumnFormula>
    </tableColumn>
    <tableColumn id="8" xr3:uid="{E8A4278F-4168-4D96-8A09-7A074BDA4726}" name="Column8" totalsRowFunction="sum" headerRowDxfId="2424" dataDxfId="2423" totalsRowDxfId="2422">
      <calculatedColumnFormula>'#1'!#REF!</calculatedColumnFormula>
    </tableColumn>
    <tableColumn id="9" xr3:uid="{2EB4461F-B1B5-48A8-B83C-0BF70ECC2395}" name="Column9" totalsRowFunction="sum" headerRowDxfId="2421" dataDxfId="2420" totalsRowDxfId="2419">
      <calculatedColumnFormula>'#1'!#REF!</calculatedColumnFormula>
    </tableColumn>
    <tableColumn id="10" xr3:uid="{52948DE7-E34E-46BA-8D3F-7307A2749B10}" name="Column10" totalsRowFunction="custom" headerRowDxfId="2418" dataDxfId="2417" totalsRowDxfId="2416" headerRowCellStyle="Percent" dataCellStyle="Percent">
      <calculatedColumnFormula>IFERROR(J25/I25,0)</calculatedColumnFormula>
      <totalsRowFormula>IFERROR(J29/I29,0)</totalsRowFormula>
    </tableColumn>
    <tableColumn id="11" xr3:uid="{BD0D33AD-44C5-4C8A-868C-14D3B4E3C930}" name="Column11" totalsRowFunction="sum" headerRowDxfId="2415" dataDxfId="2414" totalsRowDxfId="2413">
      <calculatedColumnFormula>N25+O25</calculatedColumnFormula>
    </tableColumn>
    <tableColumn id="12" xr3:uid="{EDAD5880-E12A-4415-A469-788D966ECA78}" name="Column12" totalsRowFunction="sum" headerRowDxfId="2412" dataDxfId="2411" totalsRowDxfId="2410">
      <calculatedColumnFormula>'#1'!#REF!</calculatedColumnFormula>
    </tableColumn>
    <tableColumn id="13" xr3:uid="{C417E501-3710-4A25-ADC6-DC2C79191BCD}" name="Column13" totalsRowFunction="sum" headerRowDxfId="2409" dataDxfId="2408" totalsRowDxfId="2407">
      <calculatedColumnFormula>'#1'!#REF!</calculatedColumnFormula>
    </tableColumn>
    <tableColumn id="14" xr3:uid="{EB083293-2A1D-4F6E-BD8E-0AD0039C0CFC}" name="Column14" totalsRowFunction="custom" headerRowDxfId="2406" dataDxfId="2405" totalsRowDxfId="2404" headerRowCellStyle="Percent" dataCellStyle="Percent">
      <calculatedColumnFormula>IFERROR(N25/M25,0)</calculatedColumnFormula>
      <totalsRowFormula>IFERROR(N29/M29,0)</totalsRowFormula>
    </tableColumn>
    <tableColumn id="15" xr3:uid="{87ED5EAF-0191-498C-A8A9-9A26DF817C4F}" name="Column15" totalsRowFunction="sum" headerRowDxfId="2403" dataDxfId="2402" totalsRowDxfId="2401">
      <calculatedColumnFormula>Engineering68805[[#This Row],[Column16]]+Engineering68805[[#This Row],[Column17]]</calculatedColumnFormula>
    </tableColumn>
    <tableColumn id="16" xr3:uid="{3EDA3DA8-D696-4700-9B23-6958D39EDA57}" name="Column16" totalsRowFunction="sum" headerRowDxfId="2400" dataDxfId="2399" totalsRowDxfId="2398">
      <calculatedColumnFormula>'#1'!#REF!</calculatedColumnFormula>
    </tableColumn>
    <tableColumn id="17" xr3:uid="{977A1937-A363-41E3-9EB6-DE6B57D76A77}" name="Column17" totalsRowFunction="sum" headerRowDxfId="2397" dataDxfId="2396" totalsRowDxfId="2395">
      <calculatedColumnFormula>'#1'!#REF!</calculatedColumnFormula>
    </tableColumn>
  </tableColumns>
  <tableStyleInfo name="TableStyleMedium2"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7E23EB33-C8B7-4357-9401-83615AA09B64}" name="Fin" displayName="Fin" ref="A9:Z13" headerRowCount="0" totalsRowCount="1" headerRowDxfId="667" dataDxfId="666" totalsRowDxfId="664" tableBorderDxfId="665">
  <tableColumns count="26">
    <tableColumn id="1" xr3:uid="{36BECD9D-AFC9-4AD0-8797-B54B38E4B364}" name="Column1" headerRowDxfId="663" dataDxfId="662" totalsRowDxfId="661"/>
    <tableColumn id="2" xr3:uid="{076BE395-9101-4CA6-9C5F-428D051166C3}" name="Column2" headerRowDxfId="660" dataDxfId="659" totalsRowDxfId="658"/>
    <tableColumn id="3" xr3:uid="{92C2099B-589E-43B6-BB10-B7EC4FC9F581}" name="Column3" headerRowDxfId="657" dataDxfId="656" totalsRowDxfId="655"/>
    <tableColumn id="4" xr3:uid="{D864D4AB-224A-48F3-AF54-E3F60080BE98}" name="Column4" totalsRowLabel="SubTotal" headerRowDxfId="654" dataDxfId="653" totalsRowDxfId="652"/>
    <tableColumn id="5" xr3:uid="{97D6C9F7-9DC9-44AC-8307-6B2EA30AEB2A}" name="Column5" headerRowDxfId="651" dataDxfId="650" totalsRowDxfId="649"/>
    <tableColumn id="6" xr3:uid="{E7E0EB2F-4FE9-41ED-B67A-BCA0330C47DB}" name="Column6" headerRowDxfId="648" dataDxfId="647" totalsRowDxfId="646"/>
    <tableColumn id="33" xr3:uid="{CA40E085-A286-466F-9DAB-D945C7610479}" name="Column32" headerRowDxfId="645" dataDxfId="644" totalsRowDxfId="643"/>
    <tableColumn id="32" xr3:uid="{7890A128-37A3-4E65-81F3-1A33651863A0}" name="Column31" headerRowDxfId="642" dataDxfId="641" totalsRowDxfId="640"/>
    <tableColumn id="10" xr3:uid="{A7B8AF1E-5FA4-4450-B68B-124500012FF7}" name="Column10" totalsRowFunction="sum" headerRowDxfId="639" dataDxfId="638" totalsRowDxfId="637">
      <calculatedColumnFormula>Fin[[#This Row],[Column11]]+Fin[[#This Row],[Column12]]</calculatedColumnFormula>
    </tableColumn>
    <tableColumn id="11" xr3:uid="{98375D49-203D-41D0-AC7F-0D5ADA46497B}" name="Column11" totalsRowFunction="sum" headerRowDxfId="636" dataDxfId="635" totalsRowDxfId="634"/>
    <tableColumn id="12" xr3:uid="{056394BC-F476-478B-946B-15278348CF68}" name="Column12" totalsRowFunction="sum" headerRowDxfId="633" dataDxfId="632" totalsRowDxfId="631"/>
    <tableColumn id="13" xr3:uid="{79859A70-29D0-46AC-B8E0-3E02C4AAE118}" name="Column13" totalsRowFunction="custom" headerRowDxfId="630" dataDxfId="629" totalsRowDxfId="628" dataCellStyle="Percent">
      <calculatedColumnFormula>IFERROR(J9/I9,0)</calculatedColumnFormula>
      <totalsRowFormula>IFERROR(Fin[[#Totals],[Column11]]/Fin[[#Totals],[Column10]],0)</totalsRowFormula>
    </tableColumn>
    <tableColumn id="15" xr3:uid="{6539E2AF-80E6-4072-9F4C-C3603E838AA6}" name="Column15" totalsRowFunction="sum" headerRowDxfId="627" dataDxfId="626" totalsRowDxfId="625">
      <calculatedColumnFormula>Fin[[#This Row],[Column16]]+Fin[[#This Row],[Column17]]</calculatedColumnFormula>
    </tableColumn>
    <tableColumn id="16" xr3:uid="{554F8642-ADD6-463A-BCDD-12F17C881E86}" name="Column16" totalsRowFunction="sum" headerRowDxfId="624" dataDxfId="623" totalsRowDxfId="622"/>
    <tableColumn id="17" xr3:uid="{8715A05F-1B42-442B-B15D-9CEF9E909AF2}" name="Column17" totalsRowFunction="sum" headerRowDxfId="621" dataDxfId="620" totalsRowDxfId="619"/>
    <tableColumn id="18" xr3:uid="{7114ADE9-32E3-4A77-8194-0E30D7A6AAD3}" name="Column18" totalsRowFunction="custom" headerRowDxfId="618" dataDxfId="617" totalsRowDxfId="616" dataCellStyle="Percent">
      <calculatedColumnFormula>IFERROR(N11/M11,0)</calculatedColumnFormula>
      <totalsRowFormula>IFERROR(Fin[[#Totals],[Column16]]/Fin[[#Totals],[Column15]],0)</totalsRowFormula>
    </tableColumn>
    <tableColumn id="19" xr3:uid="{3E0C305F-C5CA-439F-B911-1AA963282827}" name="Column19" totalsRowFunction="sum" headerRowDxfId="615" dataDxfId="614" totalsRowDxfId="613">
      <calculatedColumnFormula>Fin[[#This Row],[Column20]]+Fin[[#This Row],[Column21]]</calculatedColumnFormula>
    </tableColumn>
    <tableColumn id="20" xr3:uid="{CF69B8A3-604D-49E6-B126-90948D592BEA}" name="Column20" totalsRowFunction="sum" headerRowDxfId="612" dataDxfId="611" totalsRowDxfId="610"/>
    <tableColumn id="21" xr3:uid="{13F83B44-929B-4D5D-9A20-473652236DDE}" name="Column21" totalsRowFunction="sum" headerRowDxfId="609" dataDxfId="608" totalsRowDxfId="607"/>
    <tableColumn id="22" xr3:uid="{6679F636-0221-47DF-9E82-7FE8BF0FA9AD}" name="Column22" totalsRowFunction="custom" headerRowDxfId="606" dataDxfId="605" totalsRowDxfId="604" dataCellStyle="Percent">
      <calculatedColumnFormula>IFERROR(R9/Q9,0)</calculatedColumnFormula>
      <totalsRowFormula>IFERROR(Fin[[#Totals],[Column20]]/Fin[[#Totals],[Column19]],0)</totalsRowFormula>
    </tableColumn>
    <tableColumn id="24" xr3:uid="{81F7D120-0999-456F-B308-DECE34B9D721}" name="Column24" totalsRowFunction="sum" headerRowDxfId="603" dataDxfId="602" totalsRowDxfId="601">
      <calculatedColumnFormula>Fin[[#This Row],[Column30]]+Fin[[#This Row],[Column29]]</calculatedColumnFormula>
    </tableColumn>
    <tableColumn id="30" xr3:uid="{FA9075A1-4F0C-485E-B16D-7F6AE195F190}" name="Column30" totalsRowFunction="sum" headerRowDxfId="600" dataDxfId="599" totalsRowDxfId="598"/>
    <tableColumn id="29" xr3:uid="{2EA4BD3F-F891-4AFD-851E-2C732CAF45A5}" name="Column29" totalsRowFunction="sum" headerRowDxfId="597" dataDxfId="596" totalsRowDxfId="595"/>
    <tableColumn id="25" xr3:uid="{9759C067-1F4D-4B8D-868A-1181CB094399}" name="Column25" totalsRowFunction="custom" headerRowDxfId="594" dataDxfId="593" totalsRowDxfId="592">
      <calculatedColumnFormula>IFERROR(Fin[[#This Row],[Column30]]/Fin[[#This Row],[Column24]],0)</calculatedColumnFormula>
      <totalsRowFormula>IFERROR(Fin[[#Totals],[Column30]]/Fin[[#Totals],[Column24]],0)</totalsRowFormula>
    </tableColumn>
    <tableColumn id="26" xr3:uid="{FC436B8B-F429-4598-A210-31E8806FD5AB}" name="Column26" totalsRowFunction="custom" headerRowDxfId="591" dataDxfId="590" totalsRowDxfId="589" dataCellStyle="Percent">
      <calculatedColumnFormula>IFERROR(W9/V9,0)</calculatedColumnFormula>
      <totalsRowFormula>IFERROR(Fin[[#Totals],[Column24]]/Fin[[#Totals],[Column19]],0)</totalsRowFormula>
    </tableColumn>
    <tableColumn id="28" xr3:uid="{284CEBC2-5C55-46C9-AD28-4F6EE5B4F844}" name="Column232" headerRowDxfId="588" dataDxfId="587" totalsRowDxfId="586" dataCellStyle="Percent"/>
  </tableColumns>
  <tableStyleInfo name="TableStyleMedium2"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9FDB72C8-6EB1-45FA-8F9B-F00EFFDDA9DC}" name="Inst" displayName="Inst" ref="A9:Z13" headerRowCount="0" totalsRowCount="1" headerRowDxfId="585" dataDxfId="584" totalsRowDxfId="582" tableBorderDxfId="583">
  <tableColumns count="26">
    <tableColumn id="1" xr3:uid="{E5B134DD-8870-4C4F-9C6D-DFAE33728260}" name="Column1" headerRowDxfId="581" dataDxfId="580" totalsRowDxfId="579"/>
    <tableColumn id="2" xr3:uid="{D3692EC8-644E-4ACE-B762-897475F1F425}" name="Column2" headerRowDxfId="578" dataDxfId="577" totalsRowDxfId="576"/>
    <tableColumn id="3" xr3:uid="{024AE03B-9BC1-4AB2-A6CD-BF3CEAD9FB63}" name="Column3" headerRowDxfId="575" dataDxfId="574" totalsRowDxfId="573"/>
    <tableColumn id="4" xr3:uid="{61DC4D24-388F-4390-A2F8-9D6F82F8AE4E}" name="Column4" totalsRowLabel="SubTotal" headerRowDxfId="572" dataDxfId="571" totalsRowDxfId="570"/>
    <tableColumn id="5" xr3:uid="{C104FD0E-F52C-476F-B0EC-C638F9689BAB}" name="Column5" headerRowDxfId="569" dataDxfId="568" totalsRowDxfId="567"/>
    <tableColumn id="6" xr3:uid="{174A8B23-FFEF-4DE4-8F6C-E6FDF6243C5D}" name="Column6" headerRowDxfId="566" dataDxfId="565" totalsRowDxfId="564"/>
    <tableColumn id="33" xr3:uid="{812825CA-ADF5-4EDB-A112-C8E7623E5423}" name="Column32" headerRowDxfId="563" dataDxfId="562" totalsRowDxfId="561"/>
    <tableColumn id="32" xr3:uid="{374B8D25-8630-4D05-8382-CEFF04E1CB8D}" name="Column31" headerRowDxfId="560" dataDxfId="559" totalsRowDxfId="558"/>
    <tableColumn id="10" xr3:uid="{BC8777DB-B86F-4A6C-86E2-800D2B39965C}" name="Column10" totalsRowFunction="sum" headerRowDxfId="557" dataDxfId="556" totalsRowDxfId="555">
      <calculatedColumnFormula>Inst[[#This Row],[Column11]]+Inst[[#This Row],[Column12]]</calculatedColumnFormula>
    </tableColumn>
    <tableColumn id="11" xr3:uid="{4BF65BC2-A45A-428D-8B13-0C2ECB25666D}" name="Column11" totalsRowFunction="sum" headerRowDxfId="554" dataDxfId="553" totalsRowDxfId="552"/>
    <tableColumn id="12" xr3:uid="{6FDA1A99-1F46-492D-8185-BA02ECF03215}" name="Column12" totalsRowFunction="sum" headerRowDxfId="551" dataDxfId="550" totalsRowDxfId="549"/>
    <tableColumn id="13" xr3:uid="{170A6530-D4C4-4B75-9E74-57701FF357C3}" name="Column13" totalsRowFunction="custom" headerRowDxfId="548" dataDxfId="547" totalsRowDxfId="546" dataCellStyle="Percent">
      <calculatedColumnFormula>IFERROR(J9/I9,0)</calculatedColumnFormula>
      <totalsRowFormula>IFERROR(Inst[[#Totals],[Column11]]/Inst[[#Totals],[Column10]],0)</totalsRowFormula>
    </tableColumn>
    <tableColumn id="15" xr3:uid="{17EF05DC-184A-4111-BA79-3769E3E177CC}" name="Column15" totalsRowFunction="sum" headerRowDxfId="545" dataDxfId="544" totalsRowDxfId="543">
      <calculatedColumnFormula>Inst[[#This Row],[Column16]]+Inst[[#This Row],[Column17]]</calculatedColumnFormula>
    </tableColumn>
    <tableColumn id="16" xr3:uid="{EB2A609A-20AF-4A72-995E-C2B2E8B342CC}" name="Column16" totalsRowFunction="sum" headerRowDxfId="542" dataDxfId="541" totalsRowDxfId="540"/>
    <tableColumn id="17" xr3:uid="{F680C2EA-7BF3-427C-8742-88960E07E426}" name="Column17" totalsRowFunction="sum" headerRowDxfId="539" dataDxfId="538" totalsRowDxfId="537"/>
    <tableColumn id="18" xr3:uid="{B6A03835-8B10-4EC6-AE1D-19F08E14C92D}" name="Column18" totalsRowFunction="custom" headerRowDxfId="536" dataDxfId="535" totalsRowDxfId="534" dataCellStyle="Percent">
      <calculatedColumnFormula>IFERROR(N9/M9,0)</calculatedColumnFormula>
      <totalsRowFormula>IFERROR(Inst[[#Totals],[Column16]]/Inst[[#Totals],[Column15]],0)</totalsRowFormula>
    </tableColumn>
    <tableColumn id="19" xr3:uid="{4E7148D6-48F3-4021-9119-C3E440E7CC86}" name="Column19" totalsRowFunction="sum" headerRowDxfId="533" dataDxfId="532" totalsRowDxfId="531">
      <calculatedColumnFormula>Inst[[#This Row],[Column20]]+Inst[[#This Row],[Column21]]</calculatedColumnFormula>
    </tableColumn>
    <tableColumn id="20" xr3:uid="{54AB6A1A-594B-493A-AAE5-8A14CA9B319A}" name="Column20" totalsRowFunction="sum" headerRowDxfId="530" dataDxfId="529" totalsRowDxfId="528"/>
    <tableColumn id="21" xr3:uid="{166C5E19-7CE8-4004-B13A-3A5A1CBEFD27}" name="Column21" totalsRowFunction="sum" headerRowDxfId="527" dataDxfId="526" totalsRowDxfId="525"/>
    <tableColumn id="22" xr3:uid="{CDF52605-567B-4522-8532-8AD83807F9FA}" name="Column22" totalsRowFunction="custom" headerRowDxfId="524" dataDxfId="523" totalsRowDxfId="522" dataCellStyle="Percent">
      <calculatedColumnFormula>IFERROR(R9/Q9,0)</calculatedColumnFormula>
      <totalsRowFormula>IFERROR(Inst[[#Totals],[Column20]]/Inst[[#Totals],[Column19]],0)</totalsRowFormula>
    </tableColumn>
    <tableColumn id="24" xr3:uid="{25F92654-486D-4E1A-905E-16A3B0E1A2EE}" name="Column24" totalsRowFunction="sum" headerRowDxfId="521" dataDxfId="520" totalsRowDxfId="519">
      <calculatedColumnFormula>Inst[[#This Row],[Column30]]+Inst[[#This Row],[Column29]]</calculatedColumnFormula>
    </tableColumn>
    <tableColumn id="30" xr3:uid="{744019D2-EC8C-4D63-AF24-9DBD709EE864}" name="Column30" totalsRowFunction="sum" headerRowDxfId="518" dataDxfId="517" totalsRowDxfId="516"/>
    <tableColumn id="29" xr3:uid="{AA7AAA85-2EA1-4825-B586-35902146EBA5}" name="Column29" totalsRowFunction="sum" headerRowDxfId="515" dataDxfId="514" totalsRowDxfId="513"/>
    <tableColumn id="25" xr3:uid="{DA604464-6783-4124-86AE-E5980527B393}" name="Column25" totalsRowFunction="custom" headerRowDxfId="512" dataDxfId="511" totalsRowDxfId="510">
      <calculatedColumnFormula>IFERROR(Inst[[#This Row],[Column30]]/Inst[[#This Row],[Column24]],0)</calculatedColumnFormula>
      <totalsRowFormula>IFERROR(Inst[[#Totals],[Column30]]/Inst[[#Totals],[Column24]],0)</totalsRowFormula>
    </tableColumn>
    <tableColumn id="26" xr3:uid="{E28EBDA0-EE1D-4B71-9901-AE70D5E69801}" name="Column26" totalsRowFunction="custom" headerRowDxfId="509" dataDxfId="508" totalsRowDxfId="507" dataCellStyle="Percent">
      <calculatedColumnFormula>IFERROR(W9/V9,0)</calculatedColumnFormula>
      <totalsRowFormula>IFERROR(Inst[[#Totals],[Column24]]/Inst[[#Totals],[Column19]],0)</totalsRowFormula>
    </tableColumn>
    <tableColumn id="28" xr3:uid="{21B08140-70EE-4276-A2A5-6E7D09EEE366}" name="Column232" headerRowDxfId="506" dataDxfId="505" totalsRowDxfId="504" dataCellStyle="Percent"/>
  </tableColumns>
  <tableStyleInfo name="TableStyleMedium2"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6BC28B61-C32F-4DFB-BCC1-A8801D4B2904}" name="Insp" displayName="Insp" ref="A9:Z13" headerRowCount="0" totalsRowCount="1" headerRowDxfId="503" dataDxfId="502" totalsRowDxfId="500" tableBorderDxfId="501">
  <tableColumns count="26">
    <tableColumn id="1" xr3:uid="{E1D88E98-0A5D-408A-AE59-FE0BB7207AE0}" name="Column1" headerRowDxfId="499" dataDxfId="498" totalsRowDxfId="497"/>
    <tableColumn id="2" xr3:uid="{F30EEF92-D3E3-4966-BC77-DF6B26D8A24D}" name="Column2" headerRowDxfId="496" dataDxfId="495" totalsRowDxfId="494"/>
    <tableColumn id="3" xr3:uid="{462DD044-A0F0-401F-928F-C878E2588824}" name="Column3" headerRowDxfId="493" dataDxfId="492" totalsRowDxfId="491"/>
    <tableColumn id="4" xr3:uid="{5E726CE5-A66A-4AB7-AAB6-1E6321445F0F}" name="Column4" totalsRowLabel="SubTotal" headerRowDxfId="490" dataDxfId="489" totalsRowDxfId="488"/>
    <tableColumn id="5" xr3:uid="{61C17AD8-164D-4B14-A6B8-9EC14B65F0AC}" name="Column5" headerRowDxfId="487" dataDxfId="486" totalsRowDxfId="485"/>
    <tableColumn id="6" xr3:uid="{3BFCAB15-7B08-48EF-AD81-88AABEECD5DF}" name="Column6" headerRowDxfId="484" dataDxfId="483" totalsRowDxfId="482"/>
    <tableColumn id="33" xr3:uid="{BAE629FE-4031-482B-8C4E-587CAA1322B9}" name="Column32" headerRowDxfId="481" dataDxfId="480" totalsRowDxfId="479"/>
    <tableColumn id="32" xr3:uid="{923217BE-4352-4559-9DEA-EFE1738E2E1F}" name="Column31" headerRowDxfId="478" dataDxfId="477" totalsRowDxfId="476"/>
    <tableColumn id="10" xr3:uid="{13720A0B-64D3-4316-A007-66EC2DCC8D8C}" name="Column10" totalsRowFunction="sum" headerRowDxfId="475" dataDxfId="474" totalsRowDxfId="473">
      <calculatedColumnFormula>Insp[[#This Row],[Column11]]+Insp[[#This Row],[Column12]]</calculatedColumnFormula>
    </tableColumn>
    <tableColumn id="11" xr3:uid="{10FDEF33-9C78-49D0-858F-211893710580}" name="Column11" totalsRowFunction="sum" headerRowDxfId="472" dataDxfId="471" totalsRowDxfId="470"/>
    <tableColumn id="12" xr3:uid="{A48083C9-D266-4DC7-B9A2-D96BE6A46253}" name="Column12" totalsRowFunction="sum" headerRowDxfId="469" dataDxfId="468" totalsRowDxfId="467"/>
    <tableColumn id="13" xr3:uid="{1F623E37-B36B-4F5D-AC9A-4CC6202AF921}" name="Column13" totalsRowFunction="custom" headerRowDxfId="466" dataDxfId="465" totalsRowDxfId="464" dataCellStyle="Percent">
      <calculatedColumnFormula>IFERROR(J9/I9,0)</calculatedColumnFormula>
      <totalsRowFormula>IFERROR(Insp[[#Totals],[Column11]]/Insp[[#Totals],[Column10]],0)</totalsRowFormula>
    </tableColumn>
    <tableColumn id="15" xr3:uid="{3CB75CD2-DEA6-4266-B5BF-0B3E1AB8F601}" name="Column15" totalsRowFunction="sum" headerRowDxfId="463" dataDxfId="462" totalsRowDxfId="461">
      <calculatedColumnFormula>Insp[[#This Row],[Column16]]+Insp[[#This Row],[Column17]]</calculatedColumnFormula>
    </tableColumn>
    <tableColumn id="16" xr3:uid="{C352801E-4DD9-4E35-94F9-3443A625572D}" name="Column16" totalsRowFunction="sum" headerRowDxfId="460" dataDxfId="459" totalsRowDxfId="458"/>
    <tableColumn id="17" xr3:uid="{C536AE46-08AD-4338-A02F-37DE2B45959F}" name="Column17" totalsRowFunction="sum" headerRowDxfId="457" dataDxfId="456" totalsRowDxfId="455"/>
    <tableColumn id="18" xr3:uid="{14FA23E6-07D8-4F49-8C45-294446BFE90B}" name="Column18" totalsRowFunction="custom" headerRowDxfId="454" dataDxfId="453" totalsRowDxfId="452" dataCellStyle="Percent">
      <calculatedColumnFormula>IFERROR(N9/M9,0)</calculatedColumnFormula>
      <totalsRowFormula>IFERROR(Insp[[#Totals],[Column16]]/Insp[[#Totals],[Column15]],0)</totalsRowFormula>
    </tableColumn>
    <tableColumn id="19" xr3:uid="{5F6BE92C-4A75-4421-97A0-23148FC96B32}" name="Column19" totalsRowFunction="sum" headerRowDxfId="451" dataDxfId="450" totalsRowDxfId="449">
      <calculatedColumnFormula>Insp[[#This Row],[Column20]]+Insp[[#This Row],[Column21]]</calculatedColumnFormula>
    </tableColumn>
    <tableColumn id="20" xr3:uid="{30D6D8F8-4503-4A0F-AD86-24051E3FC0EC}" name="Column20" totalsRowFunction="sum" headerRowDxfId="448" dataDxfId="447" totalsRowDxfId="446"/>
    <tableColumn id="21" xr3:uid="{6BBE0011-9BDE-4B14-B8B9-DC28C7AA11E6}" name="Column21" totalsRowFunction="sum" headerRowDxfId="445" dataDxfId="444" totalsRowDxfId="443"/>
    <tableColumn id="22" xr3:uid="{6BDDFA31-6886-4228-A416-1971DBB131CB}" name="Column22" totalsRowFunction="custom" headerRowDxfId="442" dataDxfId="441" totalsRowDxfId="440" dataCellStyle="Percent">
      <calculatedColumnFormula>IFERROR(R9/Q9,0)</calculatedColumnFormula>
      <totalsRowFormula>IFERROR(Insp[[#Totals],[Column20]]/Insp[[#Totals],[Column19]],0)</totalsRowFormula>
    </tableColumn>
    <tableColumn id="24" xr3:uid="{72810C14-B5B9-4804-AC33-60459EA390BF}" name="Column24" totalsRowFunction="sum" headerRowDxfId="439" dataDxfId="438" totalsRowDxfId="437">
      <calculatedColumnFormula>Insp[[#This Row],[Column30]]+Insp[[#This Row],[Column29]]</calculatedColumnFormula>
    </tableColumn>
    <tableColumn id="30" xr3:uid="{A3EB4E54-E4DB-4402-B239-8027895788D4}" name="Column30" totalsRowFunction="sum" headerRowDxfId="436" dataDxfId="435" totalsRowDxfId="434"/>
    <tableColumn id="29" xr3:uid="{079A684E-F2E0-4DBD-AC1E-751DB7D8D94B}" name="Column29" totalsRowFunction="sum" headerRowDxfId="433" dataDxfId="432" totalsRowDxfId="431"/>
    <tableColumn id="25" xr3:uid="{36F80DB7-C201-4FA7-AA30-F494695B57B7}" name="Column25" totalsRowFunction="custom" headerRowDxfId="430" dataDxfId="429" totalsRowDxfId="428">
      <calculatedColumnFormula>IFERROR(Insp[[#This Row],[Column30]]/Insp[[#This Row],[Column24]],0)</calculatedColumnFormula>
      <totalsRowFormula>IFERROR(Insp[[#Totals],[Column30]]/Insp[[#Totals],[Column24]],0)</totalsRowFormula>
    </tableColumn>
    <tableColumn id="26" xr3:uid="{F68C1C40-C197-4187-A25B-B09CC6FAC630}" name="Column26" totalsRowFunction="custom" headerRowDxfId="427" dataDxfId="426" totalsRowDxfId="425" dataCellStyle="Percent">
      <calculatedColumnFormula>IFERROR(W9/V9,0)</calculatedColumnFormula>
      <totalsRowFormula>IFERROR(Insp[[#Totals],[Column24]]/Insp[[#Totals],[Column19]],0)</totalsRowFormula>
    </tableColumn>
    <tableColumn id="28" xr3:uid="{0140ECD9-1C06-4320-B84A-61105850B0F2}" name="Column232" headerRowDxfId="424" dataDxfId="423" totalsRowDxfId="422" dataCellStyle="Percent"/>
  </tableColumns>
  <tableStyleInfo name="TableStyleMedium2"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AA37F3CA-612E-4C64-9C61-953198217B71}" name="Proj" displayName="Proj" ref="A9:Z13" headerRowCount="0" totalsRowCount="1" headerRowDxfId="421" dataDxfId="420" totalsRowDxfId="418" tableBorderDxfId="419">
  <tableColumns count="26">
    <tableColumn id="1" xr3:uid="{9F8BF27A-6535-480F-8CA0-A3B68EF5DF81}" name="Column1" headerRowDxfId="417" dataDxfId="416" totalsRowDxfId="415"/>
    <tableColumn id="2" xr3:uid="{A15C684C-8775-4CA1-A2C3-FF90BC114A9E}" name="Column2" headerRowDxfId="414" dataDxfId="413" totalsRowDxfId="412"/>
    <tableColumn id="3" xr3:uid="{D9BC05CA-7AED-42AD-A0B7-2DB426DFF427}" name="Column3" headerRowDxfId="411" dataDxfId="410" totalsRowDxfId="409"/>
    <tableColumn id="4" xr3:uid="{F359AFEC-7D6F-40AE-90F9-77381306EF48}" name="Column4" totalsRowLabel="SubTotal" headerRowDxfId="408" dataDxfId="407" totalsRowDxfId="406"/>
    <tableColumn id="5" xr3:uid="{DAF2F464-2D3F-41BF-82C8-0075D6BA25DD}" name="Column5" headerRowDxfId="405" dataDxfId="404" totalsRowDxfId="403"/>
    <tableColumn id="6" xr3:uid="{94B7D4BF-EFB3-4BBD-8951-4B34E8A522C9}" name="Column6" headerRowDxfId="402" dataDxfId="401" totalsRowDxfId="400"/>
    <tableColumn id="33" xr3:uid="{0CEE973D-09C5-4917-959E-6FA3CC471AF9}" name="Column32" headerRowDxfId="399" dataDxfId="398" totalsRowDxfId="397"/>
    <tableColumn id="32" xr3:uid="{04A0C413-8B43-49A5-AD73-344335C957CE}" name="Column31" headerRowDxfId="396" dataDxfId="395" totalsRowDxfId="394"/>
    <tableColumn id="10" xr3:uid="{CC33D39C-4AD0-4882-9AB7-D8AC34AD18F0}" name="Column10" totalsRowFunction="sum" headerRowDxfId="393" dataDxfId="392" totalsRowDxfId="391">
      <calculatedColumnFormula>Proj[[#This Row],[Column11]]+Proj[[#This Row],[Column12]]</calculatedColumnFormula>
    </tableColumn>
    <tableColumn id="11" xr3:uid="{DAB434C8-380C-42C9-94F3-992F5FAFD953}" name="Column11" totalsRowFunction="sum" headerRowDxfId="390" dataDxfId="389" totalsRowDxfId="388"/>
    <tableColumn id="12" xr3:uid="{2347C032-9C6A-4FA8-9A6F-B93A4AC6F633}" name="Column12" totalsRowFunction="sum" headerRowDxfId="387" dataDxfId="386" totalsRowDxfId="385"/>
    <tableColumn id="13" xr3:uid="{EAC66EDF-2A7E-4192-A9B8-18EA9119AAEB}" name="Column13" totalsRowFunction="custom" headerRowDxfId="384" dataDxfId="383" totalsRowDxfId="382" dataCellStyle="Percent">
      <calculatedColumnFormula>IFERROR(J9/I9,0)</calculatedColumnFormula>
      <totalsRowFormula>IFERROR(Proj[[#Totals],[Column11]]/Proj[[#Totals],[Column10]],0)</totalsRowFormula>
    </tableColumn>
    <tableColumn id="15" xr3:uid="{0BA98839-4979-4FBA-8FE1-37D06BFD19CC}" name="Column15" totalsRowFunction="sum" headerRowDxfId="381" dataDxfId="380" totalsRowDxfId="379">
      <calculatedColumnFormula>Proj[[#This Row],[Column16]]+Proj[[#This Row],[Column17]]</calculatedColumnFormula>
    </tableColumn>
    <tableColumn id="16" xr3:uid="{6A35F394-61EE-4196-AB94-351B2959F691}" name="Column16" totalsRowFunction="sum" headerRowDxfId="378" dataDxfId="377" totalsRowDxfId="376"/>
    <tableColumn id="17" xr3:uid="{65A78691-7DF7-488A-B593-69776EBCCD4F}" name="Column17" totalsRowFunction="sum" headerRowDxfId="375" dataDxfId="374" totalsRowDxfId="373"/>
    <tableColumn id="18" xr3:uid="{6730DF3A-3F2A-4A56-B22B-3EDA43EABA97}" name="Column18" totalsRowFunction="custom" headerRowDxfId="372" dataDxfId="371" totalsRowDxfId="370" dataCellStyle="Percent">
      <calculatedColumnFormula>IFERROR(N9/M9,0)</calculatedColumnFormula>
      <totalsRowFormula>IFERROR(Proj[[#Totals],[Column16]]/Proj[[#Totals],[Column15]],0)</totalsRowFormula>
    </tableColumn>
    <tableColumn id="19" xr3:uid="{BFF4C1DF-4B71-4B26-8ABC-05C781D79DEE}" name="Column19" totalsRowFunction="sum" headerRowDxfId="369" dataDxfId="368" totalsRowDxfId="367">
      <calculatedColumnFormula>Proj[[#This Row],[Column20]]+Proj[[#This Row],[Column21]]</calculatedColumnFormula>
    </tableColumn>
    <tableColumn id="20" xr3:uid="{162F2CB6-8C96-46D4-BAA7-028E4EA16BAA}" name="Column20" totalsRowFunction="sum" headerRowDxfId="366" dataDxfId="365" totalsRowDxfId="364"/>
    <tableColumn id="21" xr3:uid="{230D5A37-46FD-40F2-B5E8-CB1B03E29912}" name="Column21" totalsRowFunction="sum" headerRowDxfId="363" dataDxfId="362" totalsRowDxfId="361"/>
    <tableColumn id="22" xr3:uid="{BD0AA908-0EA6-4EB4-9B6A-30966FB0E52A}" name="Column22" totalsRowFunction="custom" headerRowDxfId="360" dataDxfId="359" totalsRowDxfId="358" dataCellStyle="Percent">
      <calculatedColumnFormula>IFERROR(R9/Q9,0)</calculatedColumnFormula>
      <totalsRowFormula>IFERROR(Proj[[#Totals],[Column20]]/Proj[[#Totals],[Column19]],0)</totalsRowFormula>
    </tableColumn>
    <tableColumn id="24" xr3:uid="{D2C4F7AB-7CE0-40B0-B92E-1DF057EE64A8}" name="Column24" totalsRowFunction="sum" headerRowDxfId="357" dataDxfId="356" totalsRowDxfId="355">
      <calculatedColumnFormula>Proj[[#This Row],[Column30]]+Proj[[#This Row],[Column29]]</calculatedColumnFormula>
    </tableColumn>
    <tableColumn id="30" xr3:uid="{700739F5-8213-42A0-B686-835EC711C502}" name="Column30" totalsRowFunction="sum" headerRowDxfId="354" dataDxfId="353" totalsRowDxfId="352"/>
    <tableColumn id="29" xr3:uid="{46761C46-9FEB-49F8-A62B-C89D84903979}" name="Column29" totalsRowFunction="sum" headerRowDxfId="351" dataDxfId="350" totalsRowDxfId="349"/>
    <tableColumn id="25" xr3:uid="{954FFAFD-6883-4A35-87DE-7246D8F9731B}" name="Column25" totalsRowFunction="custom" headerRowDxfId="348" dataDxfId="347" totalsRowDxfId="346">
      <calculatedColumnFormula>IFERROR(Proj[[#This Row],[Column30]]/Proj[[#This Row],[Column24]],0)</calculatedColumnFormula>
      <totalsRowFormula>IFERROR(Proj[[#Totals],[Column30]]/Proj[[#Totals],[Column24]],0)</totalsRowFormula>
    </tableColumn>
    <tableColumn id="26" xr3:uid="{ACCCF552-374C-455D-A676-3CCA6943E45D}" name="Column26" totalsRowFunction="custom" headerRowDxfId="345" dataDxfId="344" totalsRowDxfId="343" dataCellStyle="Percent">
      <calculatedColumnFormula>IFERROR(Proj[[#This Row],[Column24]]/Proj[[#This Row],[Column19]],0)</calculatedColumnFormula>
      <totalsRowFormula>IFERROR(Proj[[#Totals],[Column24]]/Proj[[#Totals],[Column19]],0)</totalsRowFormula>
    </tableColumn>
    <tableColumn id="28" xr3:uid="{55F244FA-BFDF-4242-954C-698F90CCCFAD}" name="Column232" headerRowDxfId="342" dataDxfId="341" totalsRowDxfId="340" dataCellStyle="Percent"/>
  </tableColumns>
  <tableStyleInfo name="TableStyleMedium2"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82323B6-716C-42E0-8A75-8AF63C1159D1}" name="Surv" displayName="Surv" ref="A9:Z13" headerRowCount="0" totalsRowCount="1" headerRowDxfId="339" dataDxfId="338" totalsRowDxfId="336" tableBorderDxfId="337">
  <tableColumns count="26">
    <tableColumn id="1" xr3:uid="{EC1838E0-B1CD-452A-BB8F-303727B33E20}" name="Column1" headerRowDxfId="335" dataDxfId="334" totalsRowDxfId="333"/>
    <tableColumn id="2" xr3:uid="{33561554-813B-411C-B4F3-5180C147F34E}" name="Column2" headerRowDxfId="332" dataDxfId="331" totalsRowDxfId="330"/>
    <tableColumn id="3" xr3:uid="{9B56B7C7-AFF4-4AD4-9EB4-0105329DEB37}" name="Column3" headerRowDxfId="329" dataDxfId="328" totalsRowDxfId="327"/>
    <tableColumn id="4" xr3:uid="{F5547095-9A23-469E-803E-0453E7DE1EF8}" name="Column4" totalsRowLabel="SubTotal" headerRowDxfId="326" dataDxfId="325" totalsRowDxfId="324"/>
    <tableColumn id="5" xr3:uid="{0B6DB32D-9210-4241-9C53-88B551B5E3C6}" name="Column5" headerRowDxfId="323" dataDxfId="322" totalsRowDxfId="321"/>
    <tableColumn id="6" xr3:uid="{7947B73C-2E29-4110-BB3A-276D4CBEAD4C}" name="Column6" headerRowDxfId="320" dataDxfId="319" totalsRowDxfId="318"/>
    <tableColumn id="33" xr3:uid="{5DCBDEE2-8597-4AAC-B223-2E1C3D33150F}" name="Column32" headerRowDxfId="317" dataDxfId="316" totalsRowDxfId="315"/>
    <tableColumn id="32" xr3:uid="{FD72BFBD-E0E3-4515-B81F-39F1FF96A47F}" name="Column31" headerRowDxfId="314" dataDxfId="313" totalsRowDxfId="312"/>
    <tableColumn id="10" xr3:uid="{FCB1A285-BDE0-4806-AE04-B5C551B7CDF3}" name="Column10" totalsRowFunction="sum" headerRowDxfId="311" dataDxfId="310" totalsRowDxfId="309">
      <calculatedColumnFormula>Surv[[#This Row],[Column11]]+Surv[[#This Row],[Column12]]</calculatedColumnFormula>
    </tableColumn>
    <tableColumn id="11" xr3:uid="{2529B56F-C07C-4CB2-94A3-6F38A64CC542}" name="Column11" totalsRowFunction="sum" headerRowDxfId="308" dataDxfId="307" totalsRowDxfId="306"/>
    <tableColumn id="12" xr3:uid="{27B9958C-1F70-4751-932D-F80CDCA9FC5D}" name="Column12" totalsRowFunction="sum" headerRowDxfId="305" dataDxfId="304" totalsRowDxfId="303"/>
    <tableColumn id="13" xr3:uid="{1C9610F6-50F9-4A44-BEB0-1843B28690C2}" name="Column13" totalsRowFunction="custom" headerRowDxfId="302" dataDxfId="301" totalsRowDxfId="300" dataCellStyle="Percent">
      <calculatedColumnFormula>IFERROR(J9/I9,0)</calculatedColumnFormula>
      <totalsRowFormula>IFERROR(Surv[[#Totals],[Column11]]/Surv[[#Totals],[Column10]],0)</totalsRowFormula>
    </tableColumn>
    <tableColumn id="15" xr3:uid="{601CBD0A-9C88-4E2D-BC86-B7BECE6EADEB}" name="Column15" totalsRowFunction="sum" headerRowDxfId="299" dataDxfId="298" totalsRowDxfId="297">
      <calculatedColumnFormula>Surv[[#This Row],[Column16]]+Surv[[#This Row],[Column17]]</calculatedColumnFormula>
    </tableColumn>
    <tableColumn id="16" xr3:uid="{A792DF23-7E08-488B-AD23-75CA39719C31}" name="Column16" totalsRowFunction="sum" headerRowDxfId="296" dataDxfId="295" totalsRowDxfId="294"/>
    <tableColumn id="17" xr3:uid="{8639F605-2E00-42BD-AE6E-BA4EE6BD985D}" name="Column17" totalsRowFunction="sum" headerRowDxfId="293" dataDxfId="292" totalsRowDxfId="291"/>
    <tableColumn id="18" xr3:uid="{6007EB13-CC6B-4409-9A6F-4C93E01CA010}" name="Column18" totalsRowFunction="custom" headerRowDxfId="290" dataDxfId="289" totalsRowDxfId="288" dataCellStyle="Percent">
      <calculatedColumnFormula>IFERROR(N9/M9,0)</calculatedColumnFormula>
      <totalsRowFormula>IFERROR(Surv[[#Totals],[Column16]]/Surv[[#Totals],[Column15]],0)</totalsRowFormula>
    </tableColumn>
    <tableColumn id="19" xr3:uid="{78E6FC89-87FD-4437-A315-B324C35998B5}" name="Column19" totalsRowFunction="sum" headerRowDxfId="287" dataDxfId="286" totalsRowDxfId="285">
      <calculatedColumnFormula>Surv[[#This Row],[Column20]]+Surv[[#This Row],[Column21]]</calculatedColumnFormula>
    </tableColumn>
    <tableColumn id="20" xr3:uid="{87ED109E-AB3B-41C1-99ED-51E6262B85B6}" name="Column20" totalsRowFunction="sum" headerRowDxfId="284" dataDxfId="283" totalsRowDxfId="282"/>
    <tableColumn id="21" xr3:uid="{B150EA26-BFDF-480B-82E3-86B81AEE447C}" name="Column21" totalsRowFunction="sum" headerRowDxfId="281" dataDxfId="280" totalsRowDxfId="279"/>
    <tableColumn id="22" xr3:uid="{49B61B40-DB7B-4B2E-84F7-E414CB43AC2D}" name="Column22" totalsRowFunction="custom" headerRowDxfId="278" dataDxfId="277" totalsRowDxfId="276" dataCellStyle="Percent">
      <calculatedColumnFormula>IFERROR(R9/Q9,0)</calculatedColumnFormula>
      <totalsRowFormula>IFERROR(Surv[[#Totals],[Column20]]/Surv[[#Totals],[Column19]],0)</totalsRowFormula>
    </tableColumn>
    <tableColumn id="24" xr3:uid="{0FE4E8B3-C5EA-4DFA-B35A-5AE67EF10B20}" name="Column24" totalsRowFunction="sum" headerRowDxfId="275" dataDxfId="274" totalsRowDxfId="273">
      <calculatedColumnFormula>Surv[[#This Row],[Column30]]+Surv[[#This Row],[Column29]]</calculatedColumnFormula>
    </tableColumn>
    <tableColumn id="30" xr3:uid="{F080B1E5-AF3C-4AD9-BD9E-1F5F1483BA90}" name="Column30" totalsRowFunction="sum" headerRowDxfId="272" dataDxfId="271" totalsRowDxfId="270"/>
    <tableColumn id="29" xr3:uid="{B84250AD-CDB0-4205-8014-017C063B78B0}" name="Column29" totalsRowFunction="sum" headerRowDxfId="269" dataDxfId="268" totalsRowDxfId="267"/>
    <tableColumn id="25" xr3:uid="{D167DD48-6132-4AC4-88BB-D1B247230C9A}" name="Column25" totalsRowFunction="custom" headerRowDxfId="266" dataDxfId="265" totalsRowDxfId="264">
      <calculatedColumnFormula>IFERROR(Surv[[#This Row],[Column30]]/Surv[[#This Row],[Column24]],0)</calculatedColumnFormula>
      <totalsRowFormula>IFERROR(Surv[[#Totals],[Column30]]/Surv[[#Totals],[Column24]],0)</totalsRowFormula>
    </tableColumn>
    <tableColumn id="26" xr3:uid="{62D36757-0836-449B-BB7C-967A76585080}" name="Column26" totalsRowFunction="custom" headerRowDxfId="263" dataDxfId="262" totalsRowDxfId="261" dataCellStyle="Percent">
      <calculatedColumnFormula>IFERROR(W9/V9,0)</calculatedColumnFormula>
      <totalsRowFormula>IFERROR(Surv[[#Totals],[Column24]]/Surv[[#Totals],[Column19]],0)</totalsRowFormula>
    </tableColumn>
    <tableColumn id="28" xr3:uid="{169130C4-9186-4666-B8F2-E7E053B00FEB}" name="Column232" headerRowDxfId="260" dataDxfId="259" totalsRowDxfId="258" dataCellStyle="Percent"/>
  </tableColumns>
  <tableStyleInfo name="TableStyleMedium2"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2B04ED72-CAD2-415B-BA2F-E1B25B68DB7A}" name="Mod" displayName="Mod" ref="A9:AC13" headerRowCount="0" totalsRowCount="1" headerRowDxfId="257" dataDxfId="256" totalsRowDxfId="254" tableBorderDxfId="255">
  <tableColumns count="29">
    <tableColumn id="1" xr3:uid="{2B5B6A8B-1721-4FAA-B912-8A97861105EC}" name="Column1" headerRowDxfId="253" dataDxfId="252" totalsRowDxfId="251"/>
    <tableColumn id="2" xr3:uid="{C2D742C8-971A-44ED-BFE5-F2DBA21532B9}" name="Column2" headerRowDxfId="250" dataDxfId="249" totalsRowDxfId="248"/>
    <tableColumn id="3" xr3:uid="{D6BB1750-F2D8-4719-B004-621C6D58FD02}" name="Column3" headerRowDxfId="247" dataDxfId="246" totalsRowDxfId="245"/>
    <tableColumn id="4" xr3:uid="{2FE32CE0-3C0F-4B68-8D5F-010E150394C5}" name="Column4" totalsRowLabel="SubTotal" headerRowDxfId="244" dataDxfId="243" totalsRowDxfId="242"/>
    <tableColumn id="5" xr3:uid="{4C0BE7D0-C87C-43BF-A766-EDAA312836CF}" name="Column5" headerRowDxfId="241" dataDxfId="240" totalsRowDxfId="239"/>
    <tableColumn id="6" xr3:uid="{CFA1C0A3-7A77-4FCF-BA9F-30698BC04670}" name="Column6" headerRowDxfId="238" dataDxfId="237" totalsRowDxfId="236"/>
    <tableColumn id="7" xr3:uid="{C6481F5F-9F96-41EF-8428-0A0DA8978D75}" name="Column7" headerRowDxfId="235" dataDxfId="234" totalsRowDxfId="233"/>
    <tableColumn id="33" xr3:uid="{462DA4FE-8C3B-4237-9260-6A173B88F456}" name="Column32" headerRowDxfId="232" dataDxfId="231" totalsRowDxfId="230"/>
    <tableColumn id="32" xr3:uid="{E45EC2D1-F5C8-4BEE-B431-A2F54E98C700}" name="Column31" headerRowDxfId="229" dataDxfId="228" totalsRowDxfId="227"/>
    <tableColumn id="8" xr3:uid="{1EBE08A8-2D58-4312-9249-953C0F2E2529}" name="Column8" headerRowDxfId="226" dataDxfId="225" totalsRowDxfId="224"/>
    <tableColumn id="9" xr3:uid="{EA2B3B43-4F48-4CD2-887C-4183261256C0}" name="Column9" headerRowDxfId="223" dataDxfId="222" totalsRowDxfId="221"/>
    <tableColumn id="10" xr3:uid="{628D01F5-86E2-4C06-8EA3-340ED48EE949}" name="Column10" totalsRowFunction="sum" headerRowDxfId="220" dataDxfId="219" totalsRowDxfId="218">
      <calculatedColumnFormula>Mod[[#This Row],[Column11]]+Mod[[#This Row],[Column12]]</calculatedColumnFormula>
    </tableColumn>
    <tableColumn id="11" xr3:uid="{0E71FF9E-A2B1-4E63-A898-C7BFD8EB3BEF}" name="Column11" totalsRowFunction="sum" headerRowDxfId="217" dataDxfId="216" totalsRowDxfId="215"/>
    <tableColumn id="12" xr3:uid="{FB5DB813-DFE8-4D1D-B914-B6FEB11455C3}" name="Column12" totalsRowFunction="sum" headerRowDxfId="214" dataDxfId="213" totalsRowDxfId="212"/>
    <tableColumn id="13" xr3:uid="{DD931A7A-B789-41A3-8DBE-9907E2830520}" name="Column13" totalsRowFunction="custom" headerRowDxfId="211" dataDxfId="210" totalsRowDxfId="209" dataCellStyle="Percent">
      <calculatedColumnFormula>IFERROR(M9/L9,0)</calculatedColumnFormula>
      <totalsRowFormula>IFERROR(Mod[[#Totals],[Column11]]/Mod[[#Totals],[Column10]],0)</totalsRowFormula>
    </tableColumn>
    <tableColumn id="15" xr3:uid="{73145028-A432-42C5-8107-A85753CA007C}" name="Column15" totalsRowFunction="sum" headerRowDxfId="208" dataDxfId="207" totalsRowDxfId="206">
      <calculatedColumnFormula>Mod[[#This Row],[Column16]]+Mod[[#This Row],[Column17]]</calculatedColumnFormula>
    </tableColumn>
    <tableColumn id="16" xr3:uid="{5680C202-A81D-4F22-BC85-DA09977508D5}" name="Column16" totalsRowFunction="sum" headerRowDxfId="205" dataDxfId="204" totalsRowDxfId="203"/>
    <tableColumn id="17" xr3:uid="{D87FFD98-049E-48FA-8461-438B891D0C1A}" name="Column17" totalsRowFunction="sum" headerRowDxfId="202" dataDxfId="201" totalsRowDxfId="200"/>
    <tableColumn id="18" xr3:uid="{66500A6E-BF48-4CE7-9B1B-F1C6C89F66C2}" name="Column18" totalsRowFunction="custom" headerRowDxfId="199" dataDxfId="198" totalsRowDxfId="197" dataCellStyle="Percent">
      <calculatedColumnFormula>IFERROR(Q9/P9,0)</calculatedColumnFormula>
      <totalsRowFormula>IFERROR(Mod[[#Totals],[Column16]]/Mod[[#Totals],[Column15]],0)</totalsRowFormula>
    </tableColumn>
    <tableColumn id="19" xr3:uid="{1E9AF4A4-DDA8-4679-8DB5-87D96D2C1A97}" name="Column19" totalsRowFunction="sum" headerRowDxfId="196" dataDxfId="195" totalsRowDxfId="194">
      <calculatedColumnFormula>Mod[[#This Row],[Column20]]+Mod[[#This Row],[Column21]]</calculatedColumnFormula>
    </tableColumn>
    <tableColumn id="20" xr3:uid="{41119F60-4739-4B00-9990-B9AB2B3615D5}" name="Column20" totalsRowFunction="sum" headerRowDxfId="193" dataDxfId="192" totalsRowDxfId="191"/>
    <tableColumn id="21" xr3:uid="{3BCB48E2-B715-40FA-A4AF-557BA219B40E}" name="Column21" totalsRowFunction="sum" headerRowDxfId="190" dataDxfId="189" totalsRowDxfId="188"/>
    <tableColumn id="22" xr3:uid="{28C2A84B-42DC-4FF5-B39E-571CFB53511A}" name="Column22" totalsRowFunction="custom" headerRowDxfId="187" dataDxfId="186" totalsRowDxfId="185" dataCellStyle="Percent">
      <calculatedColumnFormula>IFERROR(U9/T9,0)</calculatedColumnFormula>
      <totalsRowFormula>IFERROR(Mod[[#Totals],[Column20]]/Mod[[#Totals],[Column19]],0)</totalsRowFormula>
    </tableColumn>
    <tableColumn id="24" xr3:uid="{3CB0FDC9-60D0-41E7-A7A0-9401CDBD34C1}" name="Column24" totalsRowFunction="sum" headerRowDxfId="184" dataDxfId="183" totalsRowDxfId="182">
      <calculatedColumnFormula>Mod[[#This Row],[Column30]]+Mod[[#This Row],[Column29]]</calculatedColumnFormula>
    </tableColumn>
    <tableColumn id="30" xr3:uid="{47EC5BBF-E718-4E26-A5B6-D70D0812F87A}" name="Column30" totalsRowFunction="sum" headerRowDxfId="181" dataDxfId="180" totalsRowDxfId="179"/>
    <tableColumn id="29" xr3:uid="{65DF1879-3DAD-44AC-94D5-E353A29FD55D}" name="Column29" totalsRowFunction="sum" headerRowDxfId="178" dataDxfId="177" totalsRowDxfId="176"/>
    <tableColumn id="25" xr3:uid="{168F7231-FD4B-46F3-9377-1CD715A58D0E}" name="Column25" totalsRowFunction="custom" headerRowDxfId="175" dataDxfId="174" totalsRowDxfId="173">
      <calculatedColumnFormula>IFERROR(Mod[[#This Row],[Column30]]/Mod[[#This Row],[Column24]],0)</calculatedColumnFormula>
      <totalsRowFormula>IFERROR(Mod[[#Totals],[Column30]]/Mod[[#Totals],[Column24]],0)</totalsRowFormula>
    </tableColumn>
    <tableColumn id="26" xr3:uid="{1F2DF2FA-B82E-4A6F-9F92-9C488BB452D3}" name="Column26" totalsRowFunction="custom" headerRowDxfId="172" dataDxfId="171" totalsRowDxfId="170" dataCellStyle="Percent">
      <calculatedColumnFormula>IFERROR(Z9/Y9,0)</calculatedColumnFormula>
      <totalsRowFormula>IFERROR(Mod[[#Totals],[Column24]]/Mod[[#Totals],[Column19]],0)</totalsRowFormula>
    </tableColumn>
    <tableColumn id="28" xr3:uid="{EA79AB2C-2BAB-4D7C-A691-479B28D28C5C}" name="Column232" headerRowDxfId="169" dataDxfId="168" totalsRowDxfId="167" dataCellStyle="Percent"/>
  </tableColumns>
  <tableStyleInfo name="TableStyleMedium2"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B5ECCF2B-7E6C-439B-9BCE-7505C52DDE63}" name="Ship" displayName="Ship" ref="A9:Z13" headerRowCount="0" totalsRowCount="1" headerRowDxfId="166" dataDxfId="165" totalsRowDxfId="163" tableBorderDxfId="164">
  <tableColumns count="26">
    <tableColumn id="1" xr3:uid="{B3372A6E-941B-415C-BCFB-17BC67EB0802}" name="Column1" headerRowDxfId="162" dataDxfId="161" totalsRowDxfId="160"/>
    <tableColumn id="2" xr3:uid="{384E475D-48C1-46FE-A832-05F8DACB1CD9}" name="Column2" headerRowDxfId="159" dataDxfId="158" totalsRowDxfId="157"/>
    <tableColumn id="3" xr3:uid="{340AD3CD-54C9-4446-A467-73DE896548F3}" name="Column3" headerRowDxfId="156" dataDxfId="155" totalsRowDxfId="154"/>
    <tableColumn id="4" xr3:uid="{99026B4F-417F-46EA-B581-53AFFACA54B2}" name="Column4" totalsRowLabel="SubTotal" headerRowDxfId="153" dataDxfId="152" totalsRowDxfId="151"/>
    <tableColumn id="5" xr3:uid="{3AF0DBEC-FA91-47AE-94B9-86599E54F541}" name="Column5" headerRowDxfId="150" dataDxfId="149" totalsRowDxfId="148"/>
    <tableColumn id="6" xr3:uid="{3DB8CBA9-02EF-4F71-8F30-D1B8CF278E09}" name="Column6" headerRowDxfId="147" dataDxfId="146" totalsRowDxfId="145"/>
    <tableColumn id="33" xr3:uid="{ABCC223A-476E-461E-9170-F844AED502FD}" name="Column32" headerRowDxfId="144" dataDxfId="143" totalsRowDxfId="142"/>
    <tableColumn id="32" xr3:uid="{FCC20D43-1436-4A9E-B417-DEC8F7FEF838}" name="Column31" headerRowDxfId="141" dataDxfId="140" totalsRowDxfId="139"/>
    <tableColumn id="10" xr3:uid="{2BBF345D-AF4C-4A0B-A81E-EC7F26643775}" name="Column10" totalsRowFunction="sum" headerRowDxfId="138" dataDxfId="137" totalsRowDxfId="136">
      <calculatedColumnFormula>Ship[[#This Row],[Column11]]+Ship[[#This Row],[Column12]]</calculatedColumnFormula>
    </tableColumn>
    <tableColumn id="11" xr3:uid="{9A625C92-9679-45FC-A69A-497F803BD79D}" name="Column11" totalsRowFunction="sum" headerRowDxfId="135" dataDxfId="134" totalsRowDxfId="133"/>
    <tableColumn id="12" xr3:uid="{160A81FD-4825-4CF2-8588-35321FE4B28E}" name="Column12" totalsRowFunction="sum" headerRowDxfId="132" dataDxfId="131" totalsRowDxfId="130"/>
    <tableColumn id="13" xr3:uid="{E38A3D7B-2626-4813-997F-1898229B1BAA}" name="Column13" totalsRowFunction="custom" headerRowDxfId="129" dataDxfId="128" totalsRowDxfId="127" dataCellStyle="Percent">
      <calculatedColumnFormula>IFERROR(J11/I11,0)</calculatedColumnFormula>
      <totalsRowFormula>IFERROR(Ship[[#Totals],[Column11]]/Ship[[#Totals],[Column10]],0)</totalsRowFormula>
    </tableColumn>
    <tableColumn id="15" xr3:uid="{D14E575C-9A86-4427-9FF3-64F1FEAF518C}" name="Column15" totalsRowFunction="sum" headerRowDxfId="126" dataDxfId="125" totalsRowDxfId="124">
      <calculatedColumnFormula>Ship[[#This Row],[Column16]]+Ship[[#This Row],[Column17]]</calculatedColumnFormula>
    </tableColumn>
    <tableColumn id="16" xr3:uid="{1F3F14DC-1D61-45DD-AA1E-A78857B43041}" name="Column16" totalsRowFunction="sum" headerRowDxfId="123" dataDxfId="122" totalsRowDxfId="121"/>
    <tableColumn id="17" xr3:uid="{D5AE1FFD-8A6F-4EBC-8436-713CC8C79BAE}" name="Column17" totalsRowFunction="sum" headerRowDxfId="120" dataDxfId="119" totalsRowDxfId="118"/>
    <tableColumn id="18" xr3:uid="{9F8B918C-C036-4989-AEC0-37DDB45A33ED}" name="Column18" totalsRowFunction="custom" headerRowDxfId="117" dataDxfId="116" totalsRowDxfId="115" dataCellStyle="Percent">
      <calculatedColumnFormula>IFERROR(N9/M9,0)</calculatedColumnFormula>
      <totalsRowFormula>IFERROR(Ship[[#Totals],[Column16]]/Ship[[#Totals],[Column15]],0)</totalsRowFormula>
    </tableColumn>
    <tableColumn id="19" xr3:uid="{9CBF22F5-4600-4685-831B-97D0E21101EC}" name="Column19" totalsRowFunction="sum" headerRowDxfId="114" dataDxfId="113" totalsRowDxfId="112">
      <calculatedColumnFormula>Ship[[#This Row],[Column20]]+Ship[[#This Row],[Column21]]</calculatedColumnFormula>
    </tableColumn>
    <tableColumn id="20" xr3:uid="{16CFE500-2840-458E-9DFB-3E5DFA325820}" name="Column20" totalsRowFunction="sum" headerRowDxfId="111" dataDxfId="110" totalsRowDxfId="109"/>
    <tableColumn id="21" xr3:uid="{4ACC1B67-0455-45DE-A796-D1E3317E1990}" name="Column21" totalsRowFunction="sum" headerRowDxfId="108" dataDxfId="107" totalsRowDxfId="106"/>
    <tableColumn id="22" xr3:uid="{DB892B20-C395-4437-8B86-717801CB3502}" name="Column22" totalsRowFunction="custom" headerRowDxfId="105" dataDxfId="104" totalsRowDxfId="103" dataCellStyle="Percent">
      <calculatedColumnFormula>IFERROR(R9/Q9,0)</calculatedColumnFormula>
      <totalsRowFormula>IFERROR(Ship[[#Totals],[Column20]]/Ship[[#Totals],[Column19]],0)</totalsRowFormula>
    </tableColumn>
    <tableColumn id="24" xr3:uid="{79E0B945-2E7D-4261-8AC9-ABF96FA12D45}" name="Column24" totalsRowFunction="sum" headerRowDxfId="102" dataDxfId="101" totalsRowDxfId="100">
      <calculatedColumnFormula>Ship[[#This Row],[Column30]]+Ship[[#This Row],[Column29]]</calculatedColumnFormula>
    </tableColumn>
    <tableColumn id="30" xr3:uid="{B0D5D081-592F-4389-99CB-8781636DF84F}" name="Column30" totalsRowFunction="sum" headerRowDxfId="99" dataDxfId="98" totalsRowDxfId="97"/>
    <tableColumn id="29" xr3:uid="{14DD58CE-B00B-4A85-82E1-1CE06A87838D}" name="Column29" totalsRowFunction="sum" headerRowDxfId="96" dataDxfId="95" totalsRowDxfId="94"/>
    <tableColumn id="25" xr3:uid="{135ABFA3-74DC-4DFA-B65E-431BCAB4CBDB}" name="Column25" totalsRowFunction="custom" headerRowDxfId="93" dataDxfId="92" totalsRowDxfId="91">
      <calculatedColumnFormula>IFERROR(Ship[[#This Row],[Column30]]/Ship[[#This Row],[Column24]],0)</calculatedColumnFormula>
      <totalsRowFormula>IFERROR(Ship[[#Totals],[Column30]]/Ship[[#Totals],[Column24]],0)</totalsRowFormula>
    </tableColumn>
    <tableColumn id="26" xr3:uid="{F53D3B17-DA6A-46E0-8C06-5BC45224A6F2}" name="Column26" totalsRowFunction="custom" headerRowDxfId="90" dataDxfId="89" totalsRowDxfId="88" dataCellStyle="Percent">
      <calculatedColumnFormula>IFERROR(W9/V9,0)</calculatedColumnFormula>
      <totalsRowFormula>IFERROR(Ship[[#Totals],[Column24]]/Ship[[#Totals],[Column19]],0)</totalsRowFormula>
    </tableColumn>
    <tableColumn id="28" xr3:uid="{0BDD691C-7AED-4EDC-8993-071E54478419}" name="Column232" headerRowDxfId="87" dataDxfId="86" totalsRowDxfId="85" dataCellStyle="Percent"/>
  </tableColumns>
  <tableStyleInfo name="TableStyleMedium2" showFirstColumn="0" showLastColumn="0" showRowStripes="0"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90050486-CB0C-49EB-AC34-B236A1DAAA8E}" name="Others" displayName="Others" ref="A9:AA13" headerRowCount="0" totalsRowCount="1" headerRowDxfId="84" dataDxfId="83" totalsRowDxfId="81" tableBorderDxfId="82">
  <tableColumns count="27">
    <tableColumn id="1" xr3:uid="{970890E2-E251-4719-8FAA-661A74C940BD}" name="Column1" headerRowDxfId="80" dataDxfId="79" totalsRowDxfId="78"/>
    <tableColumn id="2" xr3:uid="{1BD3E2F6-8684-40C4-8662-F0E4A0D4CB6A}" name="Column2" headerRowDxfId="77" dataDxfId="76" totalsRowDxfId="75"/>
    <tableColumn id="3" xr3:uid="{37E75E93-07E1-4C3D-BA44-466F55D17FA7}" name="Column3" headerRowDxfId="74" dataDxfId="73" totalsRowDxfId="72"/>
    <tableColumn id="4" xr3:uid="{05A56E9E-9186-4F14-8A26-F81DE35BCD4A}" name="Column4" totalsRowLabel="SubTotal" headerRowDxfId="71" dataDxfId="70" totalsRowDxfId="69"/>
    <tableColumn id="5" xr3:uid="{19546E31-4F82-48D7-8D54-7814C056FEC4}" name="Column5" headerRowDxfId="68" dataDxfId="67" totalsRowDxfId="66"/>
    <tableColumn id="6" xr3:uid="{D497376C-5E3F-4D92-BD9F-878888323714}" name="Column6" headerRowDxfId="65" dataDxfId="64" totalsRowDxfId="63"/>
    <tableColumn id="7" xr3:uid="{F6ABC446-BA89-41CD-A5F3-A2755DC438B9}" name="Column7" headerRowDxfId="62" dataDxfId="61" totalsRowDxfId="60"/>
    <tableColumn id="33" xr3:uid="{297D120D-9822-4E4F-B944-D8AB4A305628}" name="Column32" headerRowDxfId="59" dataDxfId="58" totalsRowDxfId="57"/>
    <tableColumn id="32" xr3:uid="{B60BA986-EADE-48B0-AF53-EA326E08677F}" name="Column31" headerRowDxfId="56" dataDxfId="55" totalsRowDxfId="54"/>
    <tableColumn id="10" xr3:uid="{45142267-FE00-4CA2-B0B1-56B0A7FD75CA}" name="Column10" totalsRowFunction="sum" headerRowDxfId="53" dataDxfId="52" totalsRowDxfId="51">
      <calculatedColumnFormula>Others[[#This Row],[Column11]]+Others[[#This Row],[Column12]]</calculatedColumnFormula>
    </tableColumn>
    <tableColumn id="11" xr3:uid="{13F126FF-47E9-4A87-AD8A-B8096D5DF458}" name="Column11" totalsRowFunction="sum" headerRowDxfId="50" dataDxfId="49" totalsRowDxfId="48"/>
    <tableColumn id="12" xr3:uid="{FB64394B-94B0-4FDB-91A3-58E5EF118A4A}" name="Column12" totalsRowFunction="sum" headerRowDxfId="47" dataDxfId="46" totalsRowDxfId="45"/>
    <tableColumn id="13" xr3:uid="{667E44A9-52CB-4148-BACF-AB29C0238E29}" name="Column13" totalsRowFunction="custom" headerRowDxfId="44" dataDxfId="43" totalsRowDxfId="42" dataCellStyle="Percent">
      <calculatedColumnFormula>IFERROR(K9/J9,0)</calculatedColumnFormula>
      <totalsRowFormula>IFERROR(Others[[#Totals],[Column11]]/Others[[#Totals],[Column10]],0)</totalsRowFormula>
    </tableColumn>
    <tableColumn id="15" xr3:uid="{21428C22-D86C-4AEB-A1F6-C02175E60471}" name="Column15" totalsRowFunction="sum" headerRowDxfId="41" dataDxfId="40" totalsRowDxfId="39">
      <calculatedColumnFormula>Others[[#This Row],[Column16]]+Others[[#This Row],[Column17]]</calculatedColumnFormula>
    </tableColumn>
    <tableColumn id="16" xr3:uid="{AD4DAB3F-3A3E-4BC1-A1ED-FAFF1C00EE45}" name="Column16" totalsRowFunction="sum" headerRowDxfId="38" dataDxfId="37" totalsRowDxfId="36"/>
    <tableColumn id="17" xr3:uid="{C03D8011-E465-4576-8FA2-8463C6548CF6}" name="Column17" totalsRowFunction="sum" headerRowDxfId="35" dataDxfId="34" totalsRowDxfId="33"/>
    <tableColumn id="18" xr3:uid="{B27BE91A-2E15-455C-AF9E-E00D65050D54}" name="Column18" totalsRowFunction="custom" headerRowDxfId="32" dataDxfId="31" totalsRowDxfId="30" dataCellStyle="Percent">
      <calculatedColumnFormula>IFERROR(O9/N9,0)</calculatedColumnFormula>
      <totalsRowFormula>IFERROR(Others[[#Totals],[Column16]]/Others[[#Totals],[Column15]],0)</totalsRowFormula>
    </tableColumn>
    <tableColumn id="19" xr3:uid="{BAF42248-3BCC-473C-9093-816C4026F885}" name="Column19" totalsRowFunction="sum" headerRowDxfId="29" dataDxfId="28" totalsRowDxfId="27">
      <calculatedColumnFormula>Others[[#This Row],[Column20]]+Others[[#This Row],[Column21]]</calculatedColumnFormula>
    </tableColumn>
    <tableColumn id="20" xr3:uid="{D9FB0200-DB0B-4569-B460-33CD33AEE223}" name="Column20" totalsRowFunction="sum" headerRowDxfId="26" dataDxfId="25" totalsRowDxfId="24"/>
    <tableColumn id="21" xr3:uid="{76E80E51-C32E-4A3B-B0A9-777C7F90AC9B}" name="Column21" totalsRowFunction="sum" headerRowDxfId="23" dataDxfId="22" totalsRowDxfId="21"/>
    <tableColumn id="22" xr3:uid="{1750DF04-9209-4714-A951-6A15333F220F}" name="Column22" totalsRowFunction="custom" headerRowDxfId="20" dataDxfId="19" totalsRowDxfId="18" dataCellStyle="Percent">
      <calculatedColumnFormula>IFERROR(S9/R9,0)</calculatedColumnFormula>
      <totalsRowFormula>IFERROR(Others[[#Totals],[Column20]]/Others[[#Totals],[Column19]],0)</totalsRowFormula>
    </tableColumn>
    <tableColumn id="24" xr3:uid="{3CE21BDC-972D-43EA-9BAA-A7316716CE09}" name="Column24" totalsRowFunction="sum" headerRowDxfId="17" dataDxfId="16" totalsRowDxfId="15">
      <calculatedColumnFormula>Others[[#This Row],[Column30]]+Others[[#This Row],[Column29]]</calculatedColumnFormula>
    </tableColumn>
    <tableColumn id="30" xr3:uid="{8A14E75F-68AF-4D2E-B88B-7445B47AE3ED}" name="Column30" totalsRowFunction="sum" headerRowDxfId="14" dataDxfId="13" totalsRowDxfId="12"/>
    <tableColumn id="29" xr3:uid="{6759CD5A-06A4-45D8-B3EC-E8712B79BBEC}" name="Column29" totalsRowFunction="sum" headerRowDxfId="11" dataDxfId="10" totalsRowDxfId="9"/>
    <tableColumn id="25" xr3:uid="{5DF227BC-9041-43FB-A81E-8482BAE5D0B4}" name="Column25" totalsRowFunction="custom" headerRowDxfId="8" dataDxfId="7" totalsRowDxfId="6">
      <calculatedColumnFormula>IFERROR(Others[[#This Row],[Column30]]/Others[[#This Row],[Column24]],0)</calculatedColumnFormula>
      <totalsRowFormula>IFERROR(Others[[#Totals],[Column30]]/Others[[#Totals],[Column24]],0)</totalsRowFormula>
    </tableColumn>
    <tableColumn id="26" xr3:uid="{CE59AEFB-E949-4578-B976-E6C4E8371C76}" name="Column26" totalsRowFunction="custom" headerRowDxfId="5" dataDxfId="4" totalsRowDxfId="3" dataCellStyle="Percent">
      <calculatedColumnFormula>IFERROR(X9/W9,0)</calculatedColumnFormula>
      <totalsRowFormula>IFERROR(Others[[#Totals],[Column24]]/Others[[#Totals],[Column19]],0)</totalsRowFormula>
    </tableColumn>
    <tableColumn id="28" xr3:uid="{213E77DB-4CF9-4C42-BABF-E1B098CC390B}" name="Column232" headerRowDxfId="2" dataDxfId="1" totalsRowDxfId="0" dataCellStyle="Percent"/>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03BAB47-A372-408C-9CFB-98261A108752}" name="Engineering68816" displayName="Engineering68816" ref="C31:S36" headerRowCount="0" totalsRowCount="1" headerRowDxfId="2394" dataDxfId="2393" totalsRowDxfId="2391" tableBorderDxfId="2392">
  <tableColumns count="17">
    <tableColumn id="1" xr3:uid="{FE0E9420-6C0A-45DA-A95F-7A53EDFF1E56}" name="Column1" headerRowDxfId="2390" dataDxfId="2389" totalsRowDxfId="2388"/>
    <tableColumn id="2" xr3:uid="{017FFE8F-957F-4C74-B72F-5C370FF0BAEE}" name="Column2" headerRowDxfId="2387" dataDxfId="2386" totalsRowDxfId="2385"/>
    <tableColumn id="3" xr3:uid="{4599CBFB-40C1-4E80-99B9-9A7CA1A68295}" name="Column3" headerRowDxfId="2384" dataDxfId="2383" totalsRowDxfId="2382"/>
    <tableColumn id="4" xr3:uid="{FA4525A0-32E6-4FED-BBE8-B57075BC6FE1}" name="Column4" headerRowDxfId="2381" dataDxfId="2380" totalsRowDxfId="2379"/>
    <tableColumn id="5" xr3:uid="{7E2B0A0A-F296-47E8-9DE0-6E9474772D51}" name="Column5" headerRowDxfId="2378" dataDxfId="2377" totalsRowDxfId="2376"/>
    <tableColumn id="6" xr3:uid="{5927E21C-D4AC-479E-9E52-835A3FAA35B4}" name="Column6" headerRowDxfId="2375" dataDxfId="2374" totalsRowDxfId="2373"/>
    <tableColumn id="7" xr3:uid="{740E62FF-0633-40C4-A39D-49521783D711}" name="Column7" totalsRowFunction="sum" headerRowDxfId="2372" dataDxfId="2371" totalsRowDxfId="2370">
      <calculatedColumnFormula>J31+K31</calculatedColumnFormula>
    </tableColumn>
    <tableColumn id="8" xr3:uid="{C77618CC-9EAC-4D9C-BB8A-7FC692BCC252}" name="Column8" totalsRowFunction="sum" headerRowDxfId="2369" dataDxfId="2368" totalsRowDxfId="2367">
      <calculatedColumnFormula>'#1'!#REF!</calculatedColumnFormula>
    </tableColumn>
    <tableColumn id="9" xr3:uid="{2B09B018-15A1-4A47-A0B2-5D0CDCB020B6}" name="Column9" totalsRowFunction="sum" headerRowDxfId="2366" dataDxfId="2365" totalsRowDxfId="2364">
      <calculatedColumnFormula>'#1'!#REF!</calculatedColumnFormula>
    </tableColumn>
    <tableColumn id="10" xr3:uid="{1FB26B64-0CC4-4FC5-961B-35FFE3944121}" name="Column10" totalsRowFunction="custom" headerRowDxfId="2363" dataDxfId="2362" totalsRowDxfId="2361" headerRowCellStyle="Percent" dataCellStyle="Percent">
      <calculatedColumnFormula>IFERROR(J31/I31,0)</calculatedColumnFormula>
      <totalsRowFormula>IFERROR(J36/I36,0)</totalsRowFormula>
    </tableColumn>
    <tableColumn id="11" xr3:uid="{B22236D2-EEBA-4791-8478-E3A43347ED44}" name="Column11" totalsRowFunction="sum" headerRowDxfId="2360" dataDxfId="2359" totalsRowDxfId="2358">
      <calculatedColumnFormula>N31+O31</calculatedColumnFormula>
    </tableColumn>
    <tableColumn id="12" xr3:uid="{EECE1FCA-672F-48C8-8FD0-17A531672F12}" name="Column12" totalsRowFunction="sum" headerRowDxfId="2357" dataDxfId="2356" totalsRowDxfId="2355">
      <calculatedColumnFormula>'#1'!#REF!</calculatedColumnFormula>
    </tableColumn>
    <tableColumn id="13" xr3:uid="{6E316EEA-7927-426D-8BD5-DB9309ABFF0D}" name="Column13" totalsRowFunction="sum" headerRowDxfId="2354" dataDxfId="2353" totalsRowDxfId="2352">
      <calculatedColumnFormula>'#1'!#REF!</calculatedColumnFormula>
    </tableColumn>
    <tableColumn id="14" xr3:uid="{EB04E027-158B-4897-907A-083A3495704A}" name="Column14" totalsRowFunction="custom" headerRowDxfId="2351" dataDxfId="2350" totalsRowDxfId="2349" headerRowCellStyle="Percent" dataCellStyle="Percent">
      <calculatedColumnFormula>IFERROR(N31/M31,0)</calculatedColumnFormula>
      <totalsRowFormula>IFERROR(N36/M36,0)</totalsRowFormula>
    </tableColumn>
    <tableColumn id="15" xr3:uid="{434D6BDE-28BE-42B9-9AEF-95CBAAFC7A3D}" name="Column15" totalsRowFunction="sum" headerRowDxfId="2348" dataDxfId="2347" totalsRowDxfId="2346">
      <calculatedColumnFormula>R33+S33</calculatedColumnFormula>
    </tableColumn>
    <tableColumn id="16" xr3:uid="{DBC2800B-7C5C-4560-8919-449C2FEF4EDD}" name="Column16" totalsRowFunction="sum" headerRowDxfId="2345" dataDxfId="2344" totalsRowDxfId="2343">
      <calculatedColumnFormula>'#1'!#REF!</calculatedColumnFormula>
    </tableColumn>
    <tableColumn id="17" xr3:uid="{F6C0434E-2717-46C7-A0FB-7B9E5D41E856}" name="Column17" totalsRowFunction="sum" headerRowDxfId="2342" dataDxfId="2341" totalsRowDxfId="2340">
      <calculatedColumnFormula>'#1'!#REF!</calculatedColumnFormula>
    </tableColumn>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8B65D00-C789-4690-910D-C7F48ABCB482}" name="Engineering6881827" displayName="Engineering6881827" ref="C38:S43" headerRowCount="0" totalsRowCount="1" headerRowDxfId="2339" dataDxfId="2338" totalsRowDxfId="2336" tableBorderDxfId="2337">
  <tableColumns count="17">
    <tableColumn id="1" xr3:uid="{EF77F965-FBC4-4909-8B47-C328F91838FE}" name="Column1" headerRowDxfId="2335" dataDxfId="2334" totalsRowDxfId="2333"/>
    <tableColumn id="2" xr3:uid="{7EE85929-93DB-426C-8FB4-3197B15323C8}" name="Column2" headerRowDxfId="2332" dataDxfId="2331" totalsRowDxfId="2330"/>
    <tableColumn id="3" xr3:uid="{64D5A607-A932-4705-8F2A-A8AD48D8708F}" name="Column3" headerRowDxfId="2329" dataDxfId="2328" totalsRowDxfId="2327"/>
    <tableColumn id="4" xr3:uid="{DA1ABC33-3CB6-4F9E-BF0B-8BE51914960C}" name="Column4" headerRowDxfId="2326" dataDxfId="2325" totalsRowDxfId="2324"/>
    <tableColumn id="5" xr3:uid="{DC2A8281-7EAD-4F4D-BC22-1DE28C2A31C9}" name="Column5" headerRowDxfId="2323" dataDxfId="2322" totalsRowDxfId="2321"/>
    <tableColumn id="6" xr3:uid="{0DAFC994-4F61-4830-9C58-50ADE75D2E77}" name="Column6" headerRowDxfId="2320" dataDxfId="2319" totalsRowDxfId="2318"/>
    <tableColumn id="7" xr3:uid="{BA816730-9090-4287-82E2-51F612A2404E}" name="Column7" totalsRowFunction="sum" headerRowDxfId="2317" dataDxfId="2316" totalsRowDxfId="2315">
      <calculatedColumnFormula>J38+K38</calculatedColumnFormula>
    </tableColumn>
    <tableColumn id="8" xr3:uid="{2AC94C9B-70DC-4EF4-A3FA-C31369490923}" name="Column8" totalsRowFunction="sum" headerRowDxfId="2314" dataDxfId="2313" totalsRowDxfId="2312">
      <calculatedColumnFormula>'#1'!#REF!</calculatedColumnFormula>
    </tableColumn>
    <tableColumn id="9" xr3:uid="{9627312C-02DD-43B9-B8E1-56DF9DD1FCEB}" name="Column9" totalsRowFunction="sum" headerRowDxfId="2311" dataDxfId="2310" totalsRowDxfId="2309">
      <calculatedColumnFormula>'#1'!#REF!</calculatedColumnFormula>
    </tableColumn>
    <tableColumn id="10" xr3:uid="{AA47D5FF-9A11-4728-AE3D-A29563C07E4D}" name="Column10" totalsRowFunction="custom" headerRowDxfId="2308" dataDxfId="2307" totalsRowDxfId="2306" headerRowCellStyle="Percent" dataCellStyle="Percent">
      <calculatedColumnFormula>IFERROR(J38/I38,0)</calculatedColumnFormula>
      <totalsRowFormula>IFERROR(J43/I43,0)</totalsRowFormula>
    </tableColumn>
    <tableColumn id="11" xr3:uid="{EF99F8A5-0A1A-425E-AC3C-E619C1FB2EF0}" name="Column11" totalsRowFunction="sum" headerRowDxfId="2305" dataDxfId="2304" totalsRowDxfId="2303">
      <calculatedColumnFormula>N38+O38</calculatedColumnFormula>
    </tableColumn>
    <tableColumn id="12" xr3:uid="{37F3B3B3-FB3F-4217-A4C3-F22DA11A7D6E}" name="Column12" totalsRowFunction="sum" headerRowDxfId="2302" dataDxfId="2301" totalsRowDxfId="2300">
      <calculatedColumnFormula>'#1'!#REF!</calculatedColumnFormula>
    </tableColumn>
    <tableColumn id="13" xr3:uid="{51367705-4B21-48C2-BAF1-DEEB699E3E9B}" name="Column13" totalsRowFunction="sum" headerRowDxfId="2299" dataDxfId="2298" totalsRowDxfId="2297">
      <calculatedColumnFormula>'#1'!#REF!</calculatedColumnFormula>
    </tableColumn>
    <tableColumn id="14" xr3:uid="{2F340898-0C18-4F38-9FDB-A87CE91BDF35}" name="Column14" totalsRowFunction="custom" headerRowDxfId="2296" dataDxfId="2295" totalsRowDxfId="2294" headerRowCellStyle="Percent" dataCellStyle="Percent">
      <calculatedColumnFormula>IFERROR(N38/M38,0)</calculatedColumnFormula>
      <totalsRowFormula>IFERROR(N43/M43,0)</totalsRowFormula>
    </tableColumn>
    <tableColumn id="15" xr3:uid="{455419B7-1897-4B0C-B15C-4C1DD27F600C}" name="Column15" totalsRowFunction="sum" headerRowDxfId="2293" dataDxfId="2292" totalsRowDxfId="2291">
      <calculatedColumnFormula>R40+S40</calculatedColumnFormula>
    </tableColumn>
    <tableColumn id="16" xr3:uid="{1FE55120-32BE-467B-801A-29A0B4AE6B12}" name="Column16" totalsRowFunction="sum" headerRowDxfId="2290" dataDxfId="2289" totalsRowDxfId="2288">
      <calculatedColumnFormula>'#1'!#REF!</calculatedColumnFormula>
    </tableColumn>
    <tableColumn id="17" xr3:uid="{29E2C076-5CBE-490C-B95D-EFFF43A1AC69}" name="Column17" totalsRowFunction="sum" headerRowDxfId="2287" dataDxfId="2286" totalsRowDxfId="2285">
      <calculatedColumnFormula>'#1'!#REF!</calculatedColumnFormula>
    </tableColumn>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FF0AFA-49A2-4E4C-844A-2E78B5475CFD}" name="Engineering6881838" displayName="Engineering6881838" ref="C45:S50" headerRowCount="0" totalsRowCount="1" headerRowDxfId="2284" dataDxfId="2283" totalsRowDxfId="2281" tableBorderDxfId="2282">
  <tableColumns count="17">
    <tableColumn id="1" xr3:uid="{6CDA69AB-A8EF-41E2-99C1-B02826D2922C}" name="Column1" headerRowDxfId="2280" dataDxfId="2279" totalsRowDxfId="2278"/>
    <tableColumn id="2" xr3:uid="{AACE5748-B006-4179-8CF0-8B61FCA21B54}" name="Column2" headerRowDxfId="2277" dataDxfId="2276" totalsRowDxfId="2275"/>
    <tableColumn id="3" xr3:uid="{BCEB7AA0-CD70-4594-8B49-0065493FA8BA}" name="Column3" headerRowDxfId="2274" dataDxfId="2273" totalsRowDxfId="2272"/>
    <tableColumn id="4" xr3:uid="{07E2787A-5980-445D-B589-9C25CA2EFCCC}" name="Column4" headerRowDxfId="2271" dataDxfId="2270" totalsRowDxfId="2269"/>
    <tableColumn id="5" xr3:uid="{236523F0-F9B3-42D5-87A4-8438B5072049}" name="Column5" headerRowDxfId="2268" dataDxfId="2267" totalsRowDxfId="2266"/>
    <tableColumn id="6" xr3:uid="{1B1D7372-6070-4097-9A2F-457A815607CC}" name="Column6" headerRowDxfId="2265" dataDxfId="2264" totalsRowDxfId="2263"/>
    <tableColumn id="7" xr3:uid="{7B10D07B-3508-4C6D-BB50-6D92278CB736}" name="Column7" totalsRowFunction="sum" headerRowDxfId="2262" dataDxfId="2261" totalsRowDxfId="2260">
      <calculatedColumnFormula>J47+K47</calculatedColumnFormula>
    </tableColumn>
    <tableColumn id="8" xr3:uid="{A5BF80A1-E76C-4927-86AC-2DF02B156A45}" name="Column8" totalsRowFunction="sum" headerRowDxfId="2259" dataDxfId="2258" totalsRowDxfId="2257">
      <calculatedColumnFormula>'#1'!J20</calculatedColumnFormula>
    </tableColumn>
    <tableColumn id="9" xr3:uid="{AF4CDA76-D808-4BFD-A89B-DB279091DAE2}" name="Column9" totalsRowFunction="sum" headerRowDxfId="2256" dataDxfId="2255" totalsRowDxfId="2254">
      <calculatedColumnFormula>'#1'!K20</calculatedColumnFormula>
    </tableColumn>
    <tableColumn id="10" xr3:uid="{02C2FE91-6E12-4EF2-99C4-A5BB8173EF8A}" name="Column10" totalsRowFunction="custom" headerRowDxfId="2253" dataDxfId="2252" totalsRowDxfId="2251" headerRowCellStyle="Percent" dataCellStyle="Percent">
      <calculatedColumnFormula>IFERROR(J47/I47,0)</calculatedColumnFormula>
      <totalsRowFormula>IFERROR(J50/I50,0)</totalsRowFormula>
    </tableColumn>
    <tableColumn id="11" xr3:uid="{45E16048-7A58-449A-AE50-1E9389C9C6AA}" name="Column11" totalsRowFunction="sum" headerRowDxfId="2250" dataDxfId="2249" totalsRowDxfId="2248">
      <calculatedColumnFormula>N47+O47</calculatedColumnFormula>
    </tableColumn>
    <tableColumn id="12" xr3:uid="{A2030BB5-8DB4-4996-A09D-FE1CAFD4DDBF}" name="Column12" totalsRowFunction="sum" headerRowDxfId="2247" dataDxfId="2246" totalsRowDxfId="2245">
      <calculatedColumnFormula>'#1'!N20</calculatedColumnFormula>
    </tableColumn>
    <tableColumn id="13" xr3:uid="{C0CC6800-F707-4843-9B0B-FE18045AC707}" name="Column13" totalsRowFunction="sum" headerRowDxfId="2244" dataDxfId="2243" totalsRowDxfId="2242">
      <calculatedColumnFormula>'#1'!O20</calculatedColumnFormula>
    </tableColumn>
    <tableColumn id="14" xr3:uid="{5FBCFE44-F4A5-4475-9FA6-C101CBE90E0E}" name="Column14" totalsRowFunction="custom" headerRowDxfId="2241" dataDxfId="2240" totalsRowDxfId="2239" headerRowCellStyle="Percent" dataCellStyle="Percent" totalsRowCellStyle="Percent">
      <calculatedColumnFormula>IFERROR(N47/M47,0)</calculatedColumnFormula>
      <totalsRowFormula>IFERROR(N50/M50,0)</totalsRowFormula>
    </tableColumn>
    <tableColumn id="15" xr3:uid="{D48AF834-79A5-4357-94CF-549F842C3971}" name="Column15" totalsRowFunction="sum" headerRowDxfId="2238" dataDxfId="2237" totalsRowDxfId="2236">
      <calculatedColumnFormula>R47+S47</calculatedColumnFormula>
    </tableColumn>
    <tableColumn id="16" xr3:uid="{03DD5395-145D-49D9-A157-D9574AACEE1E}" name="Column16" totalsRowFunction="sum" headerRowDxfId="2235" dataDxfId="2234" totalsRowDxfId="2233">
      <calculatedColumnFormula>'#1'!R20</calculatedColumnFormula>
    </tableColumn>
    <tableColumn id="17" xr3:uid="{4076A5CE-7B00-423E-8B59-79D078C6CDA4}" name="Column17" totalsRowFunction="sum" headerRowDxfId="2232" dataDxfId="2231" totalsRowDxfId="2230">
      <calculatedColumnFormula>'#1'!S20</calculatedColumnFormula>
    </tableColumn>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05425A1-D210-4048-8D9F-BE581583B0F6}" name="Engineering6881849" displayName="Engineering6881849" ref="C52:S57" headerRowCount="0" totalsRowCount="1" headerRowDxfId="2229" dataDxfId="2228" totalsRowDxfId="2226" tableBorderDxfId="2227">
  <tableColumns count="17">
    <tableColumn id="1" xr3:uid="{4FD3BF45-6BE5-4DF7-BA5E-A9970833598B}" name="Column1" headerRowDxfId="2225" dataDxfId="2224" totalsRowDxfId="2223"/>
    <tableColumn id="2" xr3:uid="{74C097E6-D888-49B2-9926-8035B14D4C6E}" name="Column2" headerRowDxfId="2222" dataDxfId="2221" totalsRowDxfId="2220"/>
    <tableColumn id="3" xr3:uid="{E1F6BB49-9CC5-4375-8B7A-BD088DD49C4D}" name="Column3" headerRowDxfId="2219" dataDxfId="2218" totalsRowDxfId="2217"/>
    <tableColumn id="4" xr3:uid="{A5DA45BC-CE6B-435A-A898-E45B40CA6D3D}" name="Column4" headerRowDxfId="2216" dataDxfId="2215" totalsRowDxfId="2214"/>
    <tableColumn id="5" xr3:uid="{B693F833-1E65-479E-8DD2-EA86FA1C7404}" name="Column5" headerRowDxfId="2213" dataDxfId="2212" totalsRowDxfId="2211"/>
    <tableColumn id="6" xr3:uid="{62CD0D85-FDA6-41B2-A50B-ADAFE987E423}" name="Column6" headerRowDxfId="2210" dataDxfId="2209" totalsRowDxfId="2208"/>
    <tableColumn id="7" xr3:uid="{E45F2DFA-BC45-49D0-B3E8-60D8875D78B9}" name="Column7" totalsRowFunction="sum" headerRowDxfId="2207" dataDxfId="2206" totalsRowDxfId="2205">
      <calculatedColumnFormula>J54+K54</calculatedColumnFormula>
    </tableColumn>
    <tableColumn id="8" xr3:uid="{82C2A456-473A-4C50-AFAB-3224C25DF958}" name="Column8" totalsRowFunction="sum" headerRowDxfId="2204" dataDxfId="2203" totalsRowDxfId="2202">
      <calculatedColumnFormula>'#1'!J27</calculatedColumnFormula>
    </tableColumn>
    <tableColumn id="9" xr3:uid="{5552A305-A157-499C-A6B2-D4B984F959FC}" name="Column9" totalsRowFunction="sum" headerRowDxfId="2201" dataDxfId="2200" totalsRowDxfId="2199">
      <calculatedColumnFormula>'#1'!K27</calculatedColumnFormula>
    </tableColumn>
    <tableColumn id="10" xr3:uid="{EFDC4BF7-8AEF-4CD9-A2EB-1C3A23AABB86}" name="Column10" totalsRowFunction="custom" headerRowDxfId="2198" dataDxfId="2197" totalsRowDxfId="2196" headerRowCellStyle="Percent" dataCellStyle="Percent">
      <calculatedColumnFormula>IFERROR(J54/I54,0)</calculatedColumnFormula>
      <totalsRowFormula>IFERROR(J57/I57,0)</totalsRowFormula>
    </tableColumn>
    <tableColumn id="11" xr3:uid="{A80C1B20-C910-41C1-89B0-4CB4AA324F79}" name="Column11" totalsRowFunction="sum" headerRowDxfId="2195" dataDxfId="2194" totalsRowDxfId="2193">
      <calculatedColumnFormula>N54+O54</calculatedColumnFormula>
    </tableColumn>
    <tableColumn id="12" xr3:uid="{E3735F25-31DD-44DD-8C9F-ABADCEFFA71C}" name="Column12" totalsRowFunction="sum" headerRowDxfId="2192" dataDxfId="2191" totalsRowDxfId="2190">
      <calculatedColumnFormula>'#1'!N27</calculatedColumnFormula>
    </tableColumn>
    <tableColumn id="13" xr3:uid="{A22121E9-0DB8-4F55-9A9B-300978D6DE08}" name="Column13" totalsRowFunction="sum" headerRowDxfId="2189" dataDxfId="2188" totalsRowDxfId="2187">
      <calculatedColumnFormula>'#1'!O27</calculatedColumnFormula>
    </tableColumn>
    <tableColumn id="14" xr3:uid="{B43AFFA5-EBCA-445C-93E4-7BB7EE4F3DBA}" name="Column14" totalsRowFunction="custom" headerRowDxfId="2186" dataDxfId="2185" totalsRowDxfId="2184" headerRowCellStyle="Percent" dataCellStyle="Percent" totalsRowCellStyle="Percent">
      <calculatedColumnFormula>IFERROR(N54/M54,0)</calculatedColumnFormula>
      <totalsRowFormula>IFERROR(N57/M57,0)</totalsRowFormula>
    </tableColumn>
    <tableColumn id="15" xr3:uid="{944D8E7B-FC58-4C24-9CAB-B70EB1BAA705}" name="Column15" totalsRowFunction="sum" headerRowDxfId="2183" dataDxfId="2182" totalsRowDxfId="2181">
      <calculatedColumnFormula>R54+S54</calculatedColumnFormula>
    </tableColumn>
    <tableColumn id="16" xr3:uid="{7440DA8B-40A6-4346-926D-58684DC0E5B0}" name="Column16" totalsRowFunction="sum" headerRowDxfId="2180" dataDxfId="2179" totalsRowDxfId="2178">
      <calculatedColumnFormula>'#1'!R27</calculatedColumnFormula>
    </tableColumn>
    <tableColumn id="17" xr3:uid="{1B043A04-D503-4F67-B4B0-45E424CD2B51}" name="Column17" totalsRowFunction="sum" headerRowDxfId="2177" dataDxfId="2176" totalsRowDxfId="2175">
      <calculatedColumnFormula>'#1'!S27</calculatedColumnFormula>
    </tableColumn>
  </tableColumns>
  <tableStyleInfo name="TableStyleMedium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E65791B-B6B3-440B-ACCF-8FB307A33BFE}" name="Engineering68818510" displayName="Engineering68818510" ref="C59:S64" headerRowCount="0" totalsRowCount="1" headerRowDxfId="2174" dataDxfId="2173" totalsRowDxfId="2171" tableBorderDxfId="2172">
  <tableColumns count="17">
    <tableColumn id="1" xr3:uid="{54B525EE-F229-4390-8568-CEE8BB1E9D1F}" name="Column1" headerRowDxfId="2170" dataDxfId="2169" totalsRowDxfId="2168"/>
    <tableColumn id="2" xr3:uid="{14C291C2-BC39-41E7-B73D-CA77C0C242EB}" name="Column2" headerRowDxfId="2167" dataDxfId="2166" totalsRowDxfId="2165"/>
    <tableColumn id="3" xr3:uid="{E5E07F89-FEBE-45FA-BC7B-3A1EDD7737C3}" name="Column3" headerRowDxfId="2164" dataDxfId="2163" totalsRowDxfId="2162"/>
    <tableColumn id="4" xr3:uid="{4A2C3975-436D-4684-8E93-CBE5BE899FAA}" name="Column4" headerRowDxfId="2161" dataDxfId="2160" totalsRowDxfId="2159"/>
    <tableColumn id="5" xr3:uid="{E7FF7FC4-89BB-467A-9DDF-1BCBADADBCBD}" name="Column5" headerRowDxfId="2158" dataDxfId="2157" totalsRowDxfId="2156"/>
    <tableColumn id="6" xr3:uid="{18BC8AFF-4945-454E-9FCC-EBF1967A5BEC}" name="Column6" headerRowDxfId="2155" dataDxfId="2154" totalsRowDxfId="2153"/>
    <tableColumn id="7" xr3:uid="{F49F07D3-39C2-4936-8F50-F49FE48BBA2E}" name="Column7" totalsRowFunction="sum" headerRowDxfId="2152" dataDxfId="2151" totalsRowDxfId="2150">
      <calculatedColumnFormula>J61+K61</calculatedColumnFormula>
    </tableColumn>
    <tableColumn id="8" xr3:uid="{58AADD3D-4B1F-4C12-8990-BD77A17C5E10}" name="Column8" totalsRowFunction="sum" headerRowDxfId="2149" dataDxfId="2148" totalsRowDxfId="2147">
      <calculatedColumnFormula>'#1'!J34</calculatedColumnFormula>
    </tableColumn>
    <tableColumn id="9" xr3:uid="{22CF5DB1-A653-4022-A66E-8DC864B1259C}" name="Column9" totalsRowFunction="sum" headerRowDxfId="2146" dataDxfId="2145" totalsRowDxfId="2144">
      <calculatedColumnFormula>'#1'!K34</calculatedColumnFormula>
    </tableColumn>
    <tableColumn id="10" xr3:uid="{715DDFD5-1472-43C7-9758-82F250810AE7}" name="Column10" totalsRowFunction="custom" headerRowDxfId="2143" dataDxfId="2142" totalsRowDxfId="2141" headerRowCellStyle="Percent" dataCellStyle="Percent">
      <calculatedColumnFormula>IFERROR(J61/I61,0)</calculatedColumnFormula>
      <totalsRowFormula>IFERROR(J64/I64,0)</totalsRowFormula>
    </tableColumn>
    <tableColumn id="11" xr3:uid="{CF6885C1-2332-4C7A-AD27-E67CB969B694}" name="Column11" totalsRowFunction="sum" headerRowDxfId="2140" dataDxfId="2139" totalsRowDxfId="2138">
      <calculatedColumnFormula>N61+O61</calculatedColumnFormula>
    </tableColumn>
    <tableColumn id="12" xr3:uid="{896A57F7-1CF8-4E5A-8FD9-941FE549E0B6}" name="Column12" totalsRowFunction="sum" headerRowDxfId="2137" dataDxfId="2136" totalsRowDxfId="2135">
      <calculatedColumnFormula>'#1'!N34</calculatedColumnFormula>
    </tableColumn>
    <tableColumn id="13" xr3:uid="{CE5CBCBA-58D0-4848-96CE-5650B6A2574B}" name="Column13" totalsRowFunction="sum" headerRowDxfId="2134" dataDxfId="2133" totalsRowDxfId="2132">
      <calculatedColumnFormula>'#1'!O34</calculatedColumnFormula>
    </tableColumn>
    <tableColumn id="14" xr3:uid="{7BA0A6D6-C391-48D2-A0AD-1956A02973A7}" name="Column14" totalsRowFunction="custom" headerRowDxfId="2131" dataDxfId="2130" totalsRowDxfId="2129" headerRowCellStyle="Percent" dataCellStyle="Percent" totalsRowCellStyle="Percent">
      <calculatedColumnFormula>IFERROR(N61/M61,0)</calculatedColumnFormula>
      <totalsRowFormula>IFERROR(N64/M64,0)</totalsRowFormula>
    </tableColumn>
    <tableColumn id="15" xr3:uid="{519D764D-9B10-42EE-BC63-3456582A9F2A}" name="Column15" totalsRowFunction="sum" headerRowDxfId="2128" dataDxfId="2127" totalsRowDxfId="2126">
      <calculatedColumnFormula>R61+S61</calculatedColumnFormula>
    </tableColumn>
    <tableColumn id="16" xr3:uid="{0161EFAA-D616-427D-8817-87414193598F}" name="Column16" totalsRowFunction="sum" headerRowDxfId="2125" dataDxfId="2124" totalsRowDxfId="2123">
      <calculatedColumnFormula>'#1'!R34</calculatedColumnFormula>
    </tableColumn>
    <tableColumn id="17" xr3:uid="{4C5E45F8-CBFE-4D09-A1B9-E08047A2E454}" name="Column17" totalsRowFunction="sum" headerRowDxfId="2122" dataDxfId="2121" totalsRowDxfId="2120">
      <calculatedColumnFormula>'#1'!S34</calculatedColumnFormula>
    </tableColumn>
  </tableColumns>
  <tableStyleInfo name="TableStyleMedium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AAB3D22-CDC3-4A30-BF0E-BC24F115C074}" name="Engineering68818611" displayName="Engineering68818611" ref="C66:S71" headerRowCount="0" totalsRowCount="1" headerRowDxfId="2119" dataDxfId="2118" totalsRowDxfId="2116" tableBorderDxfId="2117">
  <tableColumns count="17">
    <tableColumn id="1" xr3:uid="{A38A36F2-0AD1-4AC7-984F-FFBCFD90EE46}" name="Column1" headerRowDxfId="2115" dataDxfId="2114" totalsRowDxfId="2113"/>
    <tableColumn id="2" xr3:uid="{85ECB688-7D05-464D-A1BE-0E6BC19A7BEE}" name="Column2" headerRowDxfId="2112" dataDxfId="2111" totalsRowDxfId="2110"/>
    <tableColumn id="3" xr3:uid="{35F268B3-B1AE-4758-95F8-70D1880490F6}" name="Column3" headerRowDxfId="2109" dataDxfId="2108" totalsRowDxfId="2107"/>
    <tableColumn id="4" xr3:uid="{4A9CC75D-067B-49FF-B635-2200D3500FDE}" name="Column4" headerRowDxfId="2106" dataDxfId="2105" totalsRowDxfId="2104"/>
    <tableColumn id="5" xr3:uid="{EB4DBEC0-C293-4AF8-A797-A4C23A989A80}" name="Column5" headerRowDxfId="2103" dataDxfId="2102" totalsRowDxfId="2101"/>
    <tableColumn id="6" xr3:uid="{591D76D0-E946-4651-AD20-341958173FA5}" name="Column6" headerRowDxfId="2100" dataDxfId="2099" totalsRowDxfId="2098"/>
    <tableColumn id="7" xr3:uid="{646673F8-941A-4BE5-B9A2-DBDA2BE5EE3E}" name="Column7" totalsRowFunction="sum" headerRowDxfId="2097" dataDxfId="2096" totalsRowDxfId="2095">
      <calculatedColumnFormula>J68+K68</calculatedColumnFormula>
    </tableColumn>
    <tableColumn id="8" xr3:uid="{F6FC8477-F34F-43D2-BC41-F38C35FB47E6}" name="Column8" totalsRowFunction="sum" headerRowDxfId="2094" dataDxfId="2093" totalsRowDxfId="2092">
      <calculatedColumnFormula>'#1'!J41</calculatedColumnFormula>
    </tableColumn>
    <tableColumn id="9" xr3:uid="{A9D952EE-7738-4849-A798-E2E5085D980A}" name="Column9" totalsRowFunction="sum" headerRowDxfId="2091" dataDxfId="2090" totalsRowDxfId="2089">
      <calculatedColumnFormula>'#1'!K41</calculatedColumnFormula>
    </tableColumn>
    <tableColumn id="10" xr3:uid="{A4AA69BC-310F-4EF7-868E-163195C5B878}" name="Column10" totalsRowFunction="custom" headerRowDxfId="2088" dataDxfId="2087" totalsRowDxfId="2086" headerRowCellStyle="Percent" dataCellStyle="Percent">
      <calculatedColumnFormula>IFERROR(J68/I68,0)</calculatedColumnFormula>
      <totalsRowFormula>IFERROR(J71/I71,0)</totalsRowFormula>
    </tableColumn>
    <tableColumn id="11" xr3:uid="{0F24B3C5-971B-4505-A16C-0472EB5344B2}" name="Column11" totalsRowFunction="sum" headerRowDxfId="2085" dataDxfId="2084" totalsRowDxfId="2083">
      <calculatedColumnFormula>N68+O68</calculatedColumnFormula>
    </tableColumn>
    <tableColumn id="12" xr3:uid="{3ED43D7D-CF75-42C5-AC2C-9640B82B2328}" name="Column12" totalsRowFunction="sum" headerRowDxfId="2082" dataDxfId="2081" totalsRowDxfId="2080">
      <calculatedColumnFormula>'#1'!N41</calculatedColumnFormula>
    </tableColumn>
    <tableColumn id="13" xr3:uid="{227278E3-3108-438C-ACCE-0B9CA1826B26}" name="Column13" totalsRowFunction="sum" headerRowDxfId="2079" dataDxfId="2078" totalsRowDxfId="2077">
      <calculatedColumnFormula>'#1'!O41</calculatedColumnFormula>
    </tableColumn>
    <tableColumn id="14" xr3:uid="{8F6897D3-ABFE-41FF-B839-41321A16B013}" name="Column14" totalsRowFunction="custom" headerRowDxfId="2076" dataDxfId="2075" totalsRowDxfId="2074" headerRowCellStyle="Percent" dataCellStyle="Percent" totalsRowCellStyle="Percent">
      <calculatedColumnFormula>IFERROR(N68/M68,0)</calculatedColumnFormula>
      <totalsRowFormula>IFERROR(N71/M71,0)</totalsRowFormula>
    </tableColumn>
    <tableColumn id="15" xr3:uid="{BDA0708C-1B84-48AA-BFD9-EA7A66647F01}" name="Column15" totalsRowFunction="sum" headerRowDxfId="2073" dataDxfId="2072" totalsRowDxfId="2071">
      <calculatedColumnFormula>R68+S68</calculatedColumnFormula>
    </tableColumn>
    <tableColumn id="16" xr3:uid="{64CAC71B-4567-41ED-93CF-7C8988B7679A}" name="Column16" totalsRowFunction="sum" headerRowDxfId="2070" dataDxfId="2069" totalsRowDxfId="2068">
      <calculatedColumnFormula>'#1'!R41</calculatedColumnFormula>
    </tableColumn>
    <tableColumn id="17" xr3:uid="{C9750C2B-8851-4EE0-93A9-13EAA554C9B0}" name="Column17" totalsRowFunction="sum" headerRowDxfId="2067" dataDxfId="2066" totalsRowDxfId="2065">
      <calculatedColumnFormula>'#1'!S41</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drawing" Target="../drawings/drawing2.x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23"/>
  <sheetViews>
    <sheetView view="pageBreakPreview" zoomScaleNormal="100" zoomScaleSheetLayoutView="100" workbookViewId="0">
      <selection activeCell="B3" sqref="B3"/>
    </sheetView>
  </sheetViews>
  <sheetFormatPr defaultColWidth="9.1796875" defaultRowHeight="15.5"/>
  <cols>
    <col min="1" max="1" width="6.453125" style="1" customWidth="1"/>
    <col min="2" max="2" width="93.54296875" style="1" customWidth="1"/>
    <col min="3" max="4" width="9.1796875" style="1" customWidth="1"/>
    <col min="5" max="16384" width="9.1796875" style="1"/>
  </cols>
  <sheetData>
    <row r="3" spans="1:2" ht="34.5">
      <c r="B3" s="219" t="s">
        <v>137</v>
      </c>
    </row>
    <row r="4" spans="1:2" ht="25">
      <c r="A4" s="251" t="s">
        <v>55</v>
      </c>
      <c r="B4" s="252"/>
    </row>
    <row r="5" spans="1:2" ht="25.5" customHeight="1">
      <c r="B5" s="4" t="s">
        <v>36</v>
      </c>
    </row>
    <row r="6" spans="1:2" s="2" customFormat="1" ht="19" customHeight="1">
      <c r="A6" s="3" t="s">
        <v>37</v>
      </c>
      <c r="B6" s="4" t="s">
        <v>1</v>
      </c>
    </row>
    <row r="7" spans="1:2" s="2" customFormat="1" ht="19" customHeight="1">
      <c r="A7" s="3" t="s">
        <v>38</v>
      </c>
      <c r="B7" s="4" t="s">
        <v>2</v>
      </c>
    </row>
    <row r="8" spans="1:2" s="2" customFormat="1" ht="17.5">
      <c r="A8" s="3" t="s">
        <v>39</v>
      </c>
      <c r="B8" s="4" t="s">
        <v>16</v>
      </c>
    </row>
    <row r="9" spans="1:2" s="2" customFormat="1" ht="17.5">
      <c r="A9" s="3" t="s">
        <v>40</v>
      </c>
      <c r="B9" s="4" t="s">
        <v>3</v>
      </c>
    </row>
    <row r="10" spans="1:2" s="2" customFormat="1" ht="17.5">
      <c r="A10" s="3" t="s">
        <v>41</v>
      </c>
      <c r="B10" s="4" t="s">
        <v>17</v>
      </c>
    </row>
    <row r="11" spans="1:2" s="2" customFormat="1" ht="17.5">
      <c r="A11" s="3" t="s">
        <v>42</v>
      </c>
      <c r="B11" s="4" t="s">
        <v>4</v>
      </c>
    </row>
    <row r="12" spans="1:2" s="2" customFormat="1" ht="17.5">
      <c r="A12" s="3" t="s">
        <v>43</v>
      </c>
      <c r="B12" s="4" t="s">
        <v>9</v>
      </c>
    </row>
    <row r="13" spans="1:2" s="2" customFormat="1" ht="17.5">
      <c r="A13" s="3" t="s">
        <v>44</v>
      </c>
      <c r="B13" s="4" t="s">
        <v>5</v>
      </c>
    </row>
    <row r="14" spans="1:2" s="2" customFormat="1" ht="17.5">
      <c r="A14" s="3" t="s">
        <v>45</v>
      </c>
      <c r="B14" s="4" t="s">
        <v>11</v>
      </c>
    </row>
    <row r="15" spans="1:2" s="2" customFormat="1" ht="17.5">
      <c r="A15" s="3" t="s">
        <v>46</v>
      </c>
      <c r="B15" s="4" t="s">
        <v>18</v>
      </c>
    </row>
    <row r="16" spans="1:2" s="2" customFormat="1" ht="17.5">
      <c r="A16" s="3" t="s">
        <v>47</v>
      </c>
      <c r="B16" s="4" t="s">
        <v>19</v>
      </c>
    </row>
    <row r="17" spans="1:2" s="2" customFormat="1" ht="17.5">
      <c r="A17" s="3" t="s">
        <v>48</v>
      </c>
      <c r="B17" s="4" t="s">
        <v>20</v>
      </c>
    </row>
    <row r="18" spans="1:2" s="2" customFormat="1" ht="17.5">
      <c r="A18" s="3" t="s">
        <v>49</v>
      </c>
      <c r="B18" s="4" t="s">
        <v>21</v>
      </c>
    </row>
    <row r="19" spans="1:2" s="2" customFormat="1" ht="17.5">
      <c r="A19" s="3" t="s">
        <v>50</v>
      </c>
      <c r="B19" s="4" t="s">
        <v>22</v>
      </c>
    </row>
    <row r="20" spans="1:2" s="2" customFormat="1" ht="17.5">
      <c r="A20" s="3" t="s">
        <v>51</v>
      </c>
      <c r="B20" s="4" t="s">
        <v>10</v>
      </c>
    </row>
    <row r="21" spans="1:2" s="2" customFormat="1" ht="17.5">
      <c r="A21" s="3" t="s">
        <v>52</v>
      </c>
      <c r="B21" s="4" t="s">
        <v>23</v>
      </c>
    </row>
    <row r="22" spans="1:2" s="2" customFormat="1" ht="17.5">
      <c r="A22" s="3" t="s">
        <v>53</v>
      </c>
      <c r="B22" s="4" t="s">
        <v>24</v>
      </c>
    </row>
    <row r="23" spans="1:2" s="2" customFormat="1" ht="17.5">
      <c r="A23" s="3" t="s">
        <v>54</v>
      </c>
      <c r="B23" s="4" t="s">
        <v>25</v>
      </c>
    </row>
  </sheetData>
  <mergeCells count="1">
    <mergeCell ref="A4:B4"/>
  </mergeCells>
  <phoneticPr fontId="21" type="noConversion"/>
  <hyperlinks>
    <hyperlink ref="B6" location="'#1'!A1" display="Feed And Detailed Engineering And Other Engineering Services" xr:uid="{00000000-0004-0000-0000-000000000000}"/>
    <hyperlink ref="B7" location="'#2'!A1" display="Fabrication And Construction" xr:uid="{00000000-0004-0000-0000-000001000000}"/>
    <hyperlink ref="B8" location="'#3'!A1" display="Materials And Procurement" xr:uid="{00000000-0004-0000-0000-000002000000}"/>
    <hyperlink ref="B9" location="'#4'!A1" display="Well &amp; Drilling Services / Petroleum Technology" xr:uid="{00000000-0004-0000-0000-000003000000}"/>
    <hyperlink ref="B10" location="'#5'!A1" display="Research And Development" xr:uid="{00000000-0004-0000-0000-000004000000}"/>
    <hyperlink ref="B11" location="'#6'!A1" display="Exploration, Subsurface, Petroleum Engineering &amp; Seismic" xr:uid="{00000000-0004-0000-0000-000005000000}"/>
    <hyperlink ref="B12" location="'#7'!A1" display="Transportation / Supply / Disposal Services" xr:uid="{00000000-0004-0000-0000-000006000000}"/>
    <hyperlink ref="B13" location="'#8'!A1" display="Health, Safety &amp; Environment" xr:uid="{00000000-0004-0000-0000-000007000000}"/>
    <hyperlink ref="B14" location="'#9'!A1" display="Information Systems / Information Technology / Communication Services" xr:uid="{00000000-0004-0000-0000-000008000000}"/>
    <hyperlink ref="B15" location="'#10'!A1" display="Marine, Operations &amp; Logistics Services" xr:uid="{00000000-0004-0000-0000-000009000000}"/>
    <hyperlink ref="B16" location="'#11'!A1" display="Finance &amp; Insurance" xr:uid="{00000000-0004-0000-0000-00000A000000}"/>
    <hyperlink ref="B17" location="'#12'!A1" display="Installation, Hookup &amp; Commissioning" xr:uid="{00000000-0004-0000-0000-00000B000000}"/>
    <hyperlink ref="B18" location="'#13'!A1" display="Inspection, Testing &amp; Certification" xr:uid="{00000000-0004-0000-0000-00000C000000}"/>
    <hyperlink ref="B19" location="'#14'!A1" display="Project Management / Consulting Services" xr:uid="{00000000-0004-0000-0000-00000D000000}"/>
    <hyperlink ref="B20" location="'#15'!A1" display="Surveying / Positioning Services" xr:uid="{00000000-0004-0000-0000-00000E000000}"/>
    <hyperlink ref="B21" location="'#16'!A1" display="Modification &amp; Maintenance" xr:uid="{00000000-0004-0000-0000-00000F000000}"/>
    <hyperlink ref="B22" location="'#17'!A1" display="Shipping" xr:uid="{00000000-0004-0000-0000-000010000000}"/>
    <hyperlink ref="B23" location="'#18'!A1" display="Others" xr:uid="{00000000-0004-0000-0000-000011000000}"/>
    <hyperlink ref="B5" location="Summary!A1" display="Summary" xr:uid="{00000000-0004-0000-0000-000012000000}"/>
  </hyperlink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C18C4-C190-4DE0-A950-9BE920C37EF5}">
  <dimension ref="A1:AA14"/>
  <sheetViews>
    <sheetView view="pageBreakPreview" zoomScale="50" zoomScaleNormal="55" zoomScaleSheetLayoutView="50" workbookViewId="0">
      <selection activeCell="X8" activeCellId="4" sqref="I8:I13 L8:M13 P8:Q13 T8:U13 X8:Y13"/>
    </sheetView>
  </sheetViews>
  <sheetFormatPr defaultRowHeight="15.5"/>
  <cols>
    <col min="1" max="1" width="13.453125" style="2" customWidth="1"/>
    <col min="2" max="2" width="32.26953125" style="2" customWidth="1"/>
    <col min="3" max="3" width="33.54296875" style="2" customWidth="1"/>
    <col min="4" max="4" width="29.36328125" style="2" customWidth="1"/>
    <col min="5" max="5" width="20.6328125" style="2" customWidth="1"/>
    <col min="6" max="6" width="19" style="2" customWidth="1"/>
    <col min="7" max="7" width="17" style="2" customWidth="1"/>
    <col min="8" max="8" width="18.36328125" style="2" customWidth="1"/>
    <col min="9" max="9" width="12" style="2" customWidth="1"/>
    <col min="10" max="11" width="14.81640625" style="2" customWidth="1"/>
    <col min="12" max="12" width="8.36328125" style="2" customWidth="1"/>
    <col min="13" max="13" width="15.36328125" style="2" customWidth="1"/>
    <col min="14" max="14" width="14.36328125" style="2" customWidth="1"/>
    <col min="15" max="15" width="13.6328125" style="2" customWidth="1"/>
    <col min="16" max="16" width="8.90625" style="2" customWidth="1"/>
    <col min="17" max="17" width="14.81640625" style="2" customWidth="1"/>
    <col min="18" max="18" width="15.1796875" style="2" customWidth="1"/>
    <col min="19" max="19" width="17.1796875" style="2" customWidth="1"/>
    <col min="20" max="20" width="9.6328125" style="2" customWidth="1"/>
    <col min="21" max="21" width="14.81640625" style="2" customWidth="1"/>
    <col min="22" max="22" width="17.6328125" style="2" customWidth="1"/>
    <col min="23" max="23" width="19.1796875" style="2" customWidth="1"/>
    <col min="24" max="24" width="9.7265625" style="2" customWidth="1"/>
    <col min="25" max="25" width="10.08984375" style="2" customWidth="1"/>
    <col min="26" max="26" width="27" style="2" customWidth="1"/>
    <col min="27" max="27" width="14.81640625" style="2" customWidth="1"/>
    <col min="28" max="16384" width="8.7265625" style="21"/>
  </cols>
  <sheetData>
    <row r="1" spans="1:27">
      <c r="X1" s="21"/>
      <c r="Y1" s="21"/>
      <c r="Z1" s="21"/>
      <c r="AA1" s="21"/>
    </row>
    <row r="2" spans="1:27">
      <c r="B2" s="24"/>
      <c r="X2" s="21"/>
      <c r="Y2" s="21"/>
      <c r="Z2" s="21"/>
      <c r="AA2" s="21"/>
    </row>
    <row r="3" spans="1:27">
      <c r="B3" s="24"/>
      <c r="X3" s="21"/>
      <c r="Y3" s="21"/>
      <c r="Z3" s="21"/>
      <c r="AA3" s="21"/>
    </row>
    <row r="4" spans="1:27" hidden="1">
      <c r="B4" s="26"/>
      <c r="X4" s="21"/>
      <c r="Y4" s="21"/>
      <c r="Z4" s="21"/>
      <c r="AA4" s="21"/>
    </row>
    <row r="5" spans="1:27" hidden="1"/>
    <row r="6" spans="1:27" s="2" customFormat="1" ht="83.5" customHeight="1" thickBot="1">
      <c r="A6" s="318" t="s">
        <v>77</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row>
    <row r="7" spans="1:27" s="2" customFormat="1" ht="83.5" customHeight="1">
      <c r="A7" s="285" t="s">
        <v>6</v>
      </c>
      <c r="B7" s="287" t="s">
        <v>85</v>
      </c>
      <c r="C7" s="283" t="s">
        <v>58</v>
      </c>
      <c r="D7" s="280" t="s">
        <v>7</v>
      </c>
      <c r="E7" s="281"/>
      <c r="F7" s="282"/>
      <c r="G7" s="292" t="s">
        <v>60</v>
      </c>
      <c r="H7" s="294" t="s">
        <v>66</v>
      </c>
      <c r="I7" s="280" t="s">
        <v>62</v>
      </c>
      <c r="J7" s="281"/>
      <c r="K7" s="281"/>
      <c r="L7" s="282"/>
      <c r="M7" s="280" t="s">
        <v>69</v>
      </c>
      <c r="N7" s="281"/>
      <c r="O7" s="281"/>
      <c r="P7" s="282"/>
      <c r="Q7" s="289" t="s">
        <v>64</v>
      </c>
      <c r="R7" s="290"/>
      <c r="S7" s="290"/>
      <c r="T7" s="291"/>
      <c r="U7" s="277" t="s">
        <v>86</v>
      </c>
      <c r="V7" s="278"/>
      <c r="W7" s="278"/>
      <c r="X7" s="278"/>
      <c r="Y7" s="278"/>
      <c r="Z7" s="279"/>
    </row>
    <row r="8" spans="1:27" s="2" customFormat="1" ht="83.5" customHeight="1" thickBot="1">
      <c r="A8" s="286"/>
      <c r="B8" s="288"/>
      <c r="C8" s="284"/>
      <c r="D8" s="27" t="s">
        <v>57</v>
      </c>
      <c r="E8" s="28" t="s">
        <v>87</v>
      </c>
      <c r="F8" s="29" t="s">
        <v>88</v>
      </c>
      <c r="G8" s="293"/>
      <c r="H8" s="295"/>
      <c r="I8" s="196" t="s">
        <v>0</v>
      </c>
      <c r="J8" s="63" t="s">
        <v>89</v>
      </c>
      <c r="K8" s="63" t="s">
        <v>94</v>
      </c>
      <c r="L8" s="198" t="s">
        <v>12</v>
      </c>
      <c r="M8" s="196" t="s">
        <v>0</v>
      </c>
      <c r="N8" s="63" t="s">
        <v>89</v>
      </c>
      <c r="O8" s="63" t="s">
        <v>94</v>
      </c>
      <c r="P8" s="198" t="s">
        <v>12</v>
      </c>
      <c r="Q8" s="196" t="s">
        <v>61</v>
      </c>
      <c r="R8" s="63" t="s">
        <v>92</v>
      </c>
      <c r="S8" s="63" t="s">
        <v>99</v>
      </c>
      <c r="T8" s="198" t="s">
        <v>12</v>
      </c>
      <c r="U8" s="196" t="s">
        <v>61</v>
      </c>
      <c r="V8" s="64" t="s">
        <v>90</v>
      </c>
      <c r="W8" s="28" t="s">
        <v>96</v>
      </c>
      <c r="X8" s="197" t="s">
        <v>65</v>
      </c>
      <c r="Y8" s="197" t="s">
        <v>35</v>
      </c>
      <c r="Z8" s="61" t="s">
        <v>8</v>
      </c>
    </row>
    <row r="9" spans="1:27" ht="83.5" customHeight="1">
      <c r="A9" s="107">
        <v>1</v>
      </c>
      <c r="B9" s="10"/>
      <c r="C9" s="11" t="s">
        <v>118</v>
      </c>
      <c r="D9" s="6"/>
      <c r="E9" s="11"/>
      <c r="F9" s="11"/>
      <c r="G9" s="65"/>
      <c r="H9" s="66"/>
      <c r="I9" s="226">
        <f>Res[[#This Row],[Column11]]+Res[[#This Row],[Column12]]</f>
        <v>0</v>
      </c>
      <c r="J9" s="59">
        <v>0</v>
      </c>
      <c r="K9" s="59">
        <v>0</v>
      </c>
      <c r="L9" s="228">
        <f>IFERROR(J9/I9,0)</f>
        <v>0</v>
      </c>
      <c r="M9" s="226">
        <f>Res[[#This Row],[Column16]]+Res[[#This Row],[Column17]]</f>
        <v>0</v>
      </c>
      <c r="N9" s="59">
        <v>0</v>
      </c>
      <c r="O9" s="59">
        <v>0</v>
      </c>
      <c r="P9" s="228">
        <f>IFERROR(N9/M9,0)</f>
        <v>0</v>
      </c>
      <c r="Q9" s="231">
        <f>Res[[#This Row],[Column20]]+Res[[#This Row],[Column21]]</f>
        <v>0</v>
      </c>
      <c r="R9" s="71">
        <v>0</v>
      </c>
      <c r="S9" s="71">
        <v>0</v>
      </c>
      <c r="T9" s="49">
        <f>IFERROR(R9/Q9,0)</f>
        <v>0</v>
      </c>
      <c r="U9" s="234">
        <f>Res[[#This Row],[Column30]]+Res[[#This Row],[Column29]]</f>
        <v>0</v>
      </c>
      <c r="V9" s="74">
        <v>0</v>
      </c>
      <c r="W9" s="71">
        <v>0</v>
      </c>
      <c r="X9" s="49">
        <f>IFERROR(Res[[#This Row],[Column30]]/Res[[#This Row],[Column24]],0)</f>
        <v>0</v>
      </c>
      <c r="Y9" s="237">
        <f>IFERROR(Res[[#This Row],[Column24]]/Res[[#This Row],[Column19]],0)</f>
        <v>0</v>
      </c>
      <c r="Z9" s="77"/>
      <c r="AA9" s="21"/>
    </row>
    <row r="10" spans="1:27" ht="83.5" customHeight="1">
      <c r="A10" s="6">
        <v>2</v>
      </c>
      <c r="B10" s="6"/>
      <c r="C10" s="11" t="s">
        <v>118</v>
      </c>
      <c r="D10" s="6"/>
      <c r="E10" s="11"/>
      <c r="F10" s="11"/>
      <c r="G10" s="36"/>
      <c r="H10" s="78"/>
      <c r="I10" s="227">
        <f>Res[[#This Row],[Column11]]+Res[[#This Row],[Column12]]</f>
        <v>0</v>
      </c>
      <c r="J10" s="19">
        <v>0</v>
      </c>
      <c r="K10" s="19">
        <v>0</v>
      </c>
      <c r="L10" s="229">
        <f t="shared" ref="L10:L12" si="0">IFERROR(J10/I10,0)</f>
        <v>0</v>
      </c>
      <c r="M10" s="227">
        <f>Res[[#This Row],[Column16]]+Res[[#This Row],[Column17]]</f>
        <v>0</v>
      </c>
      <c r="N10" s="19">
        <v>0</v>
      </c>
      <c r="O10" s="19">
        <v>0</v>
      </c>
      <c r="P10" s="229">
        <f>IFERROR(N12/M12,0)</f>
        <v>0</v>
      </c>
      <c r="Q10" s="232">
        <f>Res[[#This Row],[Column20]]+Res[[#This Row],[Column21]]</f>
        <v>0</v>
      </c>
      <c r="R10" s="32">
        <v>0</v>
      </c>
      <c r="S10" s="32">
        <v>0</v>
      </c>
      <c r="T10" s="53">
        <f t="shared" ref="T10:T12" si="1">IFERROR(R10/Q10,0)</f>
        <v>0</v>
      </c>
      <c r="U10" s="235">
        <f>Res[[#This Row],[Column30]]+Res[[#This Row],[Column29]]</f>
        <v>0</v>
      </c>
      <c r="V10" s="34">
        <v>0</v>
      </c>
      <c r="W10" s="32">
        <v>0</v>
      </c>
      <c r="X10" s="53">
        <f>IFERROR(Res[[#This Row],[Column30]]/Res[[#This Row],[Column24]],0)</f>
        <v>0</v>
      </c>
      <c r="Y10" s="238">
        <f>IFERROR(W10/V10,0)</f>
        <v>0</v>
      </c>
      <c r="Z10" s="80"/>
      <c r="AA10" s="21"/>
    </row>
    <row r="11" spans="1:27" ht="83.5" customHeight="1">
      <c r="A11" s="6">
        <v>3</v>
      </c>
      <c r="B11" s="10"/>
      <c r="C11" s="11" t="s">
        <v>118</v>
      </c>
      <c r="D11" s="6"/>
      <c r="E11" s="11"/>
      <c r="F11" s="11"/>
      <c r="G11" s="7"/>
      <c r="H11" s="15"/>
      <c r="I11" s="227">
        <f>Res[[#This Row],[Column11]]+Res[[#This Row],[Column12]]</f>
        <v>0</v>
      </c>
      <c r="J11" s="19">
        <v>0</v>
      </c>
      <c r="K11" s="19">
        <v>0</v>
      </c>
      <c r="L11" s="229">
        <f t="shared" si="0"/>
        <v>0</v>
      </c>
      <c r="M11" s="227">
        <f>Res[[#This Row],[Column16]]+Res[[#This Row],[Column17]]</f>
        <v>0</v>
      </c>
      <c r="N11" s="19">
        <v>0</v>
      </c>
      <c r="O11" s="19">
        <v>0</v>
      </c>
      <c r="P11" s="229">
        <f>IFERROR(N11/M11,0)</f>
        <v>0</v>
      </c>
      <c r="Q11" s="232">
        <f>Res[[#This Row],[Column20]]+Res[[#This Row],[Column21]]</f>
        <v>0</v>
      </c>
      <c r="R11" s="32">
        <v>0</v>
      </c>
      <c r="S11" s="32">
        <v>0</v>
      </c>
      <c r="T11" s="53">
        <f t="shared" si="1"/>
        <v>0</v>
      </c>
      <c r="U11" s="235">
        <f>Res[[#This Row],[Column30]]+Res[[#This Row],[Column29]]</f>
        <v>0</v>
      </c>
      <c r="V11" s="34">
        <v>0</v>
      </c>
      <c r="W11" s="32">
        <v>0</v>
      </c>
      <c r="X11" s="53">
        <f>IFERROR(Res[[#This Row],[Column30]]/Res[[#This Row],[Column24]],0)</f>
        <v>0</v>
      </c>
      <c r="Y11" s="238">
        <f>IFERROR(W11/V11,0)</f>
        <v>0</v>
      </c>
      <c r="Z11" s="35"/>
      <c r="AA11" s="21"/>
    </row>
    <row r="12" spans="1:27" ht="16" thickBot="1">
      <c r="A12" s="6">
        <v>4</v>
      </c>
      <c r="B12" s="10"/>
      <c r="C12" s="11"/>
      <c r="D12" s="6"/>
      <c r="E12" s="12"/>
      <c r="F12" s="13"/>
      <c r="G12" s="7"/>
      <c r="H12" s="15"/>
      <c r="I12" s="227">
        <f>Res[[#This Row],[Column11]]+Res[[#This Row],[Column12]]</f>
        <v>0</v>
      </c>
      <c r="J12" s="19">
        <v>0</v>
      </c>
      <c r="K12" s="19">
        <v>0</v>
      </c>
      <c r="L12" s="229">
        <f t="shared" si="0"/>
        <v>0</v>
      </c>
      <c r="M12" s="227">
        <f>Res[[#This Row],[Column16]]+Res[[#This Row],[Column17]]</f>
        <v>0</v>
      </c>
      <c r="N12" s="19">
        <v>0</v>
      </c>
      <c r="O12" s="19">
        <v>0</v>
      </c>
      <c r="P12" s="229">
        <f>IFERROR(N12/M12,0)</f>
        <v>0</v>
      </c>
      <c r="Q12" s="232">
        <f>Res[[#This Row],[Column20]]+Res[[#This Row],[Column21]]</f>
        <v>0</v>
      </c>
      <c r="R12" s="32">
        <v>0</v>
      </c>
      <c r="S12" s="32">
        <v>0</v>
      </c>
      <c r="T12" s="53">
        <f t="shared" si="1"/>
        <v>0</v>
      </c>
      <c r="U12" s="235">
        <f>Res[[#This Row],[Column30]]+Res[[#This Row],[Column29]]</f>
        <v>0</v>
      </c>
      <c r="V12" s="34">
        <v>0</v>
      </c>
      <c r="W12" s="32">
        <v>0</v>
      </c>
      <c r="X12" s="53">
        <f>IFERROR(Res[[#This Row],[Column30]]/Res[[#This Row],[Column24]],0)</f>
        <v>0</v>
      </c>
      <c r="Y12" s="238">
        <f>IFERROR(W12/V12,0)</f>
        <v>0</v>
      </c>
      <c r="Z12" s="9"/>
      <c r="AA12" s="21"/>
    </row>
    <row r="13" spans="1:27" s="102" customFormat="1" ht="83.5" customHeight="1" thickBot="1">
      <c r="A13" s="20"/>
      <c r="B13" s="81"/>
      <c r="C13" s="82"/>
      <c r="D13" s="83" t="s">
        <v>59</v>
      </c>
      <c r="E13" s="84"/>
      <c r="F13" s="85"/>
      <c r="G13" s="87"/>
      <c r="H13" s="88"/>
      <c r="I13" s="91">
        <f>SUBTOTAL(109,Res[Column10])</f>
        <v>0</v>
      </c>
      <c r="J13" s="92">
        <f>SUBTOTAL(109,Res[Column11])</f>
        <v>0</v>
      </c>
      <c r="K13" s="92">
        <f>SUBTOTAL(109,Res[Column12])</f>
        <v>0</v>
      </c>
      <c r="L13" s="103">
        <f>IFERROR(Res[[#Totals],[Column11]]/Res[[#Totals],[Column10]],0)</f>
        <v>0</v>
      </c>
      <c r="M13" s="91">
        <f>SUBTOTAL(109,Res[Column15])</f>
        <v>0</v>
      </c>
      <c r="N13" s="89">
        <f>SUBTOTAL(109,Res[Column16])</f>
        <v>0</v>
      </c>
      <c r="O13" s="89">
        <f>SUBTOTAL(109,Res[Column17])</f>
        <v>0</v>
      </c>
      <c r="P13" s="103">
        <f>IFERROR(Res[[#Totals],[Column16]]/Res[[#Totals],[Column15]],0)</f>
        <v>0</v>
      </c>
      <c r="Q13" s="94">
        <f>SUBTOTAL(109,Res[Column19])</f>
        <v>0</v>
      </c>
      <c r="R13" s="95">
        <f>SUBTOTAL(109,Res[Column20])</f>
        <v>0</v>
      </c>
      <c r="S13" s="95">
        <f>SUBTOTAL(109,Res[Column21])</f>
        <v>0</v>
      </c>
      <c r="T13" s="105">
        <f>IFERROR(Res[[#Totals],[Column20]]/Res[[#Totals],[Column19]],0)</f>
        <v>0</v>
      </c>
      <c r="U13" s="97">
        <f>SUBTOTAL(109,Res[Column24])</f>
        <v>0</v>
      </c>
      <c r="V13" s="98">
        <f>SUBTOTAL(109,Res[Column30])</f>
        <v>0</v>
      </c>
      <c r="W13" s="95">
        <f>SUBTOTAL(109,Res[Column29])</f>
        <v>0</v>
      </c>
      <c r="X13" s="108">
        <f>IFERROR(Res[[#Totals],[Column30]]/Res[[#Totals],[Column24]],0)</f>
        <v>0</v>
      </c>
      <c r="Y13" s="100">
        <f>IFERROR(Res[[#Totals],[Column24]]/Res[[#Totals],[Column19]],0)</f>
        <v>0</v>
      </c>
      <c r="Z13" s="101"/>
    </row>
    <row r="14" spans="1:27">
      <c r="A14" s="5" t="s">
        <v>82</v>
      </c>
      <c r="AA14" s="21"/>
    </row>
  </sheetData>
  <sheetProtection formatRows="0" insertRows="0" deleteRows="0"/>
  <mergeCells count="11">
    <mergeCell ref="M7:P7"/>
    <mergeCell ref="Q7:T7"/>
    <mergeCell ref="U7:Z7"/>
    <mergeCell ref="A6:AA6"/>
    <mergeCell ref="A7:A8"/>
    <mergeCell ref="B7:B8"/>
    <mergeCell ref="C7:C8"/>
    <mergeCell ref="D7:F7"/>
    <mergeCell ref="G7:G8"/>
    <mergeCell ref="H7:H8"/>
    <mergeCell ref="I7:L7"/>
  </mergeCells>
  <dataValidations count="1">
    <dataValidation allowBlank="1" showInputMessage="1" showErrorMessage="1" prompt="Please fill in the cell with text" sqref="B9:F12" xr:uid="{3A223C1C-74EE-4981-B1AB-29C3480E3690}"/>
  </dataValidations>
  <pageMargins left="0.7" right="0.7" top="0.75" bottom="0.75" header="0.3" footer="0.3"/>
  <pageSetup paperSize="9" orientation="portrait" verticalDpi="4294967295"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9FB36-171F-4FD4-8699-97C875915171}">
  <dimension ref="A1:Z14"/>
  <sheetViews>
    <sheetView zoomScale="55" zoomScaleNormal="55" workbookViewId="0">
      <selection activeCell="X8" activeCellId="4" sqref="I8:I13 L8:M13 P8:Q13 T8:U13 X8:Y13"/>
    </sheetView>
  </sheetViews>
  <sheetFormatPr defaultRowHeight="15.5"/>
  <cols>
    <col min="1" max="1" width="13.453125" style="2" customWidth="1"/>
    <col min="2" max="2" width="32.26953125" style="2" customWidth="1"/>
    <col min="3" max="3" width="33.54296875" style="2" customWidth="1"/>
    <col min="4" max="4" width="29.36328125" style="2" customWidth="1"/>
    <col min="5" max="5" width="27.26953125" style="2" customWidth="1"/>
    <col min="6" max="6" width="19.36328125" style="2" customWidth="1"/>
    <col min="7" max="7" width="17.36328125" style="2" customWidth="1"/>
    <col min="8" max="8" width="18" style="2" customWidth="1"/>
    <col min="9" max="11" width="14.81640625" style="2" customWidth="1"/>
    <col min="12" max="12" width="9.7265625" style="2" customWidth="1"/>
    <col min="13" max="13" width="13.81640625" style="2" customWidth="1"/>
    <col min="14" max="15" width="14.81640625" style="2" customWidth="1"/>
    <col min="16" max="16" width="10.1796875" style="2" customWidth="1"/>
    <col min="17" max="18" width="15.1796875" style="2" customWidth="1"/>
    <col min="19" max="19" width="17" style="2" customWidth="1"/>
    <col min="20" max="20" width="9" style="2" customWidth="1"/>
    <col min="21" max="21" width="16.81640625" style="2" customWidth="1"/>
    <col min="22" max="22" width="17.81640625" style="2" customWidth="1"/>
    <col min="23" max="23" width="18.7265625" style="2" customWidth="1"/>
    <col min="24" max="24" width="9.26953125" style="2" customWidth="1"/>
    <col min="25" max="25" width="10.453125" style="2" customWidth="1"/>
    <col min="26" max="26" width="30.26953125" style="2" customWidth="1"/>
    <col min="27" max="16384" width="8.7265625" style="21"/>
  </cols>
  <sheetData>
    <row r="1" spans="1:26">
      <c r="W1" s="21"/>
      <c r="X1" s="21"/>
      <c r="Y1" s="21"/>
      <c r="Z1" s="21"/>
    </row>
    <row r="2" spans="1:26">
      <c r="B2" s="24"/>
      <c r="W2" s="21"/>
      <c r="X2" s="21"/>
      <c r="Y2" s="21"/>
      <c r="Z2" s="21"/>
    </row>
    <row r="3" spans="1:26">
      <c r="B3" s="24"/>
      <c r="W3" s="21"/>
      <c r="X3" s="21"/>
      <c r="Y3" s="21"/>
      <c r="Z3" s="21"/>
    </row>
    <row r="4" spans="1:26" hidden="1">
      <c r="B4" s="26"/>
      <c r="W4" s="21"/>
      <c r="X4" s="21"/>
      <c r="Y4" s="21"/>
      <c r="Z4" s="21"/>
    </row>
    <row r="5" spans="1:26" ht="35">
      <c r="A5" s="318" t="s">
        <v>26</v>
      </c>
      <c r="B5" s="312"/>
      <c r="C5" s="312"/>
      <c r="D5" s="312"/>
      <c r="E5" s="312"/>
      <c r="F5" s="312"/>
      <c r="G5" s="312"/>
      <c r="H5" s="312"/>
      <c r="I5" s="312"/>
      <c r="J5" s="312"/>
      <c r="K5" s="312"/>
      <c r="L5" s="312"/>
      <c r="M5" s="312"/>
      <c r="N5" s="312"/>
      <c r="O5" s="312"/>
      <c r="P5" s="312"/>
      <c r="Q5" s="312"/>
      <c r="R5" s="312"/>
      <c r="S5" s="312"/>
      <c r="T5" s="312"/>
      <c r="U5" s="312"/>
      <c r="V5" s="312"/>
      <c r="W5" s="312"/>
      <c r="X5" s="312"/>
      <c r="Y5" s="312"/>
      <c r="Z5" s="312"/>
    </row>
    <row r="6" spans="1:26" s="2" customFormat="1" ht="83.5" customHeight="1" thickBot="1"/>
    <row r="7" spans="1:26" s="2" customFormat="1" ht="83.5" customHeight="1">
      <c r="A7" s="285" t="s">
        <v>6</v>
      </c>
      <c r="B7" s="287" t="s">
        <v>85</v>
      </c>
      <c r="C7" s="283" t="s">
        <v>58</v>
      </c>
      <c r="D7" s="280" t="s">
        <v>7</v>
      </c>
      <c r="E7" s="281"/>
      <c r="F7" s="282"/>
      <c r="G7" s="292" t="s">
        <v>60</v>
      </c>
      <c r="H7" s="294" t="s">
        <v>66</v>
      </c>
      <c r="I7" s="280" t="s">
        <v>62</v>
      </c>
      <c r="J7" s="281"/>
      <c r="K7" s="281"/>
      <c r="L7" s="282"/>
      <c r="M7" s="280" t="s">
        <v>69</v>
      </c>
      <c r="N7" s="281"/>
      <c r="O7" s="281"/>
      <c r="P7" s="282"/>
      <c r="Q7" s="289" t="s">
        <v>64</v>
      </c>
      <c r="R7" s="290"/>
      <c r="S7" s="290"/>
      <c r="T7" s="291"/>
      <c r="U7" s="277" t="s">
        <v>86</v>
      </c>
      <c r="V7" s="278"/>
      <c r="W7" s="278"/>
      <c r="X7" s="278"/>
      <c r="Y7" s="278"/>
      <c r="Z7" s="279"/>
    </row>
    <row r="8" spans="1:26" s="2" customFormat="1" ht="83.5" customHeight="1" thickBot="1">
      <c r="A8" s="286"/>
      <c r="B8" s="288"/>
      <c r="C8" s="284"/>
      <c r="D8" s="27" t="s">
        <v>57</v>
      </c>
      <c r="E8" s="28" t="s">
        <v>87</v>
      </c>
      <c r="F8" s="29" t="s">
        <v>88</v>
      </c>
      <c r="G8" s="293"/>
      <c r="H8" s="295"/>
      <c r="I8" s="196" t="s">
        <v>0</v>
      </c>
      <c r="J8" s="63" t="s">
        <v>89</v>
      </c>
      <c r="K8" s="63" t="s">
        <v>94</v>
      </c>
      <c r="L8" s="198" t="s">
        <v>12</v>
      </c>
      <c r="M8" s="196" t="s">
        <v>0</v>
      </c>
      <c r="N8" s="63" t="s">
        <v>89</v>
      </c>
      <c r="O8" s="63" t="s">
        <v>94</v>
      </c>
      <c r="P8" s="198" t="s">
        <v>12</v>
      </c>
      <c r="Q8" s="196" t="s">
        <v>61</v>
      </c>
      <c r="R8" s="63" t="s">
        <v>92</v>
      </c>
      <c r="S8" s="63" t="s">
        <v>99</v>
      </c>
      <c r="T8" s="198" t="s">
        <v>12</v>
      </c>
      <c r="U8" s="196" t="s">
        <v>61</v>
      </c>
      <c r="V8" s="64" t="s">
        <v>90</v>
      </c>
      <c r="W8" s="28" t="s">
        <v>96</v>
      </c>
      <c r="X8" s="197" t="s">
        <v>65</v>
      </c>
      <c r="Y8" s="197" t="s">
        <v>35</v>
      </c>
      <c r="Z8" s="61" t="s">
        <v>8</v>
      </c>
    </row>
    <row r="9" spans="1:26" ht="83.5" customHeight="1">
      <c r="A9" s="107">
        <v>1</v>
      </c>
      <c r="B9" s="10"/>
      <c r="C9" s="11" t="s">
        <v>118</v>
      </c>
      <c r="D9" s="6"/>
      <c r="E9" s="11"/>
      <c r="F9" s="11"/>
      <c r="G9" s="65"/>
      <c r="H9" s="66"/>
      <c r="I9" s="226">
        <f>Exp[[#This Row],[Column11]]+Exp[[#This Row],[Column12]]</f>
        <v>0</v>
      </c>
      <c r="J9" s="59">
        <v>0</v>
      </c>
      <c r="K9" s="59">
        <v>0</v>
      </c>
      <c r="L9" s="228">
        <f>IFERROR(J9/I9,0)</f>
        <v>0</v>
      </c>
      <c r="M9" s="226">
        <f>Exp[[#This Row],[Column16]]+Exp[[#This Row],[Column17]]</f>
        <v>0</v>
      </c>
      <c r="N9" s="59">
        <v>0</v>
      </c>
      <c r="O9" s="59">
        <v>0</v>
      </c>
      <c r="P9" s="228">
        <f>IFERROR(N9/M9,0)</f>
        <v>0</v>
      </c>
      <c r="Q9" s="231">
        <f>Exp[[#This Row],[Column20]]+Exp[[#This Row],[Column21]]</f>
        <v>0</v>
      </c>
      <c r="R9" s="71">
        <v>0</v>
      </c>
      <c r="S9" s="71">
        <v>0</v>
      </c>
      <c r="T9" s="49">
        <f>IFERROR(R9/Q9,0)</f>
        <v>0</v>
      </c>
      <c r="U9" s="234">
        <f>Exp[[#This Row],[Column30]]+Exp[[#This Row],[Column29]]</f>
        <v>0</v>
      </c>
      <c r="V9" s="74">
        <v>0</v>
      </c>
      <c r="W9" s="71">
        <v>0</v>
      </c>
      <c r="X9" s="49">
        <f>IFERROR(Exp[[#This Row],[Column30]]/Exp[[#This Row],[Column24]],0)</f>
        <v>0</v>
      </c>
      <c r="Y9" s="237">
        <f>IFERROR(Exp[[#This Row],[Column24]]/Exp[[#This Row],[Column19]],0)</f>
        <v>0</v>
      </c>
      <c r="Z9" s="77"/>
    </row>
    <row r="10" spans="1:26" ht="83.5" customHeight="1">
      <c r="A10" s="6">
        <v>2</v>
      </c>
      <c r="B10" s="6"/>
      <c r="C10" s="11" t="s">
        <v>118</v>
      </c>
      <c r="D10" s="6"/>
      <c r="E10" s="11"/>
      <c r="F10" s="11"/>
      <c r="G10" s="36"/>
      <c r="H10" s="78"/>
      <c r="I10" s="227">
        <f>Exp[[#This Row],[Column11]]+Exp[[#This Row],[Column12]]</f>
        <v>0</v>
      </c>
      <c r="J10" s="19">
        <v>0</v>
      </c>
      <c r="K10" s="19">
        <v>0</v>
      </c>
      <c r="L10" s="229">
        <f t="shared" ref="L10:L12" si="0">IFERROR(J10/I10,0)</f>
        <v>0</v>
      </c>
      <c r="M10" s="227">
        <f>Exp[[#This Row],[Column16]]+Exp[[#This Row],[Column17]]</f>
        <v>0</v>
      </c>
      <c r="N10" s="19">
        <v>0</v>
      </c>
      <c r="O10" s="19">
        <v>0</v>
      </c>
      <c r="P10" s="229">
        <f>IFERROR(N12/M12,0)</f>
        <v>0</v>
      </c>
      <c r="Q10" s="232">
        <f>Exp[[#This Row],[Column20]]+Exp[[#This Row],[Column21]]</f>
        <v>0</v>
      </c>
      <c r="R10" s="32">
        <v>0</v>
      </c>
      <c r="S10" s="32">
        <v>0</v>
      </c>
      <c r="T10" s="53">
        <f t="shared" ref="T10:T12" si="1">IFERROR(R10/Q10,0)</f>
        <v>0</v>
      </c>
      <c r="U10" s="235">
        <f>Exp[[#This Row],[Column30]]+Exp[[#This Row],[Column29]]</f>
        <v>0</v>
      </c>
      <c r="V10" s="34">
        <v>0</v>
      </c>
      <c r="W10" s="32">
        <v>0</v>
      </c>
      <c r="X10" s="53">
        <f>IFERROR(Exp[[#This Row],[Column30]]/Exp[[#This Row],[Column24]],0)</f>
        <v>0</v>
      </c>
      <c r="Y10" s="238">
        <f>IFERROR(W10/V10,0)</f>
        <v>0</v>
      </c>
      <c r="Z10" s="80"/>
    </row>
    <row r="11" spans="1:26" ht="83.5" customHeight="1">
      <c r="A11" s="6">
        <v>3</v>
      </c>
      <c r="B11" s="10"/>
      <c r="C11" s="11" t="s">
        <v>118</v>
      </c>
      <c r="D11" s="6"/>
      <c r="E11" s="11"/>
      <c r="F11" s="11"/>
      <c r="G11" s="7"/>
      <c r="H11" s="15"/>
      <c r="I11" s="227">
        <f>Exp[[#This Row],[Column11]]+Exp[[#This Row],[Column12]]</f>
        <v>0</v>
      </c>
      <c r="J11" s="19">
        <v>0</v>
      </c>
      <c r="K11" s="19">
        <v>0</v>
      </c>
      <c r="L11" s="229">
        <f t="shared" si="0"/>
        <v>0</v>
      </c>
      <c r="M11" s="227">
        <f>Exp[[#This Row],[Column16]]+Exp[[#This Row],[Column17]]</f>
        <v>0</v>
      </c>
      <c r="N11" s="19">
        <v>0</v>
      </c>
      <c r="O11" s="19">
        <v>0</v>
      </c>
      <c r="P11" s="229">
        <f>IFERROR(N11/M11,0)</f>
        <v>0</v>
      </c>
      <c r="Q11" s="232">
        <f>Exp[[#This Row],[Column20]]+Exp[[#This Row],[Column21]]</f>
        <v>0</v>
      </c>
      <c r="R11" s="32">
        <v>0</v>
      </c>
      <c r="S11" s="32">
        <v>0</v>
      </c>
      <c r="T11" s="53">
        <f t="shared" si="1"/>
        <v>0</v>
      </c>
      <c r="U11" s="235">
        <f>Exp[[#This Row],[Column30]]+Exp[[#This Row],[Column29]]</f>
        <v>0</v>
      </c>
      <c r="V11" s="34">
        <v>0</v>
      </c>
      <c r="W11" s="32">
        <v>0</v>
      </c>
      <c r="X11" s="53">
        <f>IFERROR(Exp[[#This Row],[Column30]]/Exp[[#This Row],[Column24]],0)</f>
        <v>0</v>
      </c>
      <c r="Y11" s="238">
        <f>IFERROR(W11/V11,0)</f>
        <v>0</v>
      </c>
      <c r="Z11" s="35"/>
    </row>
    <row r="12" spans="1:26" ht="16" thickBot="1">
      <c r="A12" s="110">
        <v>4</v>
      </c>
      <c r="B12" s="10"/>
      <c r="C12" s="11"/>
      <c r="D12" s="6"/>
      <c r="E12" s="12"/>
      <c r="F12" s="13"/>
      <c r="G12" s="7"/>
      <c r="H12" s="15"/>
      <c r="I12" s="227">
        <f>Exp[[#This Row],[Column11]]+Exp[[#This Row],[Column12]]</f>
        <v>0</v>
      </c>
      <c r="J12" s="19">
        <v>0</v>
      </c>
      <c r="K12" s="19">
        <v>0</v>
      </c>
      <c r="L12" s="229">
        <f t="shared" si="0"/>
        <v>0</v>
      </c>
      <c r="M12" s="227">
        <f>Exp[[#This Row],[Column16]]+Exp[[#This Row],[Column17]]</f>
        <v>0</v>
      </c>
      <c r="N12" s="19">
        <v>0</v>
      </c>
      <c r="O12" s="19">
        <v>0</v>
      </c>
      <c r="P12" s="229">
        <f>IFERROR(N12/M12,0)</f>
        <v>0</v>
      </c>
      <c r="Q12" s="232">
        <f>Exp[[#This Row],[Column20]]+Exp[[#This Row],[Column21]]</f>
        <v>0</v>
      </c>
      <c r="R12" s="32">
        <v>0</v>
      </c>
      <c r="S12" s="32">
        <v>0</v>
      </c>
      <c r="T12" s="53">
        <f t="shared" si="1"/>
        <v>0</v>
      </c>
      <c r="U12" s="235">
        <f>Exp[[#This Row],[Column30]]+Exp[[#This Row],[Column29]]</f>
        <v>0</v>
      </c>
      <c r="V12" s="34">
        <v>0</v>
      </c>
      <c r="W12" s="32">
        <v>0</v>
      </c>
      <c r="X12" s="53">
        <f>IFERROR(Exp[[#This Row],[Column30]]/Exp[[#This Row],[Column24]],0)</f>
        <v>0</v>
      </c>
      <c r="Y12" s="238">
        <f>IFERROR(W12/V12,0)</f>
        <v>0</v>
      </c>
      <c r="Z12" s="9"/>
    </row>
    <row r="13" spans="1:26" s="102" customFormat="1" ht="83.5" customHeight="1" thickBot="1">
      <c r="A13" s="20"/>
      <c r="B13" s="81"/>
      <c r="C13" s="82"/>
      <c r="D13" s="83" t="s">
        <v>59</v>
      </c>
      <c r="E13" s="84"/>
      <c r="F13" s="85"/>
      <c r="G13" s="87"/>
      <c r="H13" s="88"/>
      <c r="I13" s="91">
        <f>SUBTOTAL(109,Exp[Column10])</f>
        <v>0</v>
      </c>
      <c r="J13" s="92">
        <f>SUBTOTAL(109,Exp[Column11])</f>
        <v>0</v>
      </c>
      <c r="K13" s="92">
        <f>SUBTOTAL(109,Exp[Column12])</f>
        <v>0</v>
      </c>
      <c r="L13" s="103">
        <f>IFERROR(Exp[[#Totals],[Column11]]/Exp[[#Totals],[Column10]],0)</f>
        <v>0</v>
      </c>
      <c r="M13" s="91">
        <f>SUBTOTAL(109,Exp[Column15])</f>
        <v>0</v>
      </c>
      <c r="N13" s="89">
        <f>SUBTOTAL(109,Exp[Column16])</f>
        <v>0</v>
      </c>
      <c r="O13" s="89">
        <f>SUBTOTAL(109,Exp[Column17])</f>
        <v>0</v>
      </c>
      <c r="P13" s="103">
        <f>IFERROR(Exp[[#Totals],[Column16]]/Exp[[#Totals],[Column15]],0)</f>
        <v>0</v>
      </c>
      <c r="Q13" s="94">
        <f>SUBTOTAL(109,Exp[Column19])</f>
        <v>0</v>
      </c>
      <c r="R13" s="95">
        <f>SUBTOTAL(109,Exp[Column20])</f>
        <v>0</v>
      </c>
      <c r="S13" s="95">
        <f>SUBTOTAL(109,Exp[Column21])</f>
        <v>0</v>
      </c>
      <c r="T13" s="105">
        <f>IFERROR(Exp[[#Totals],[Column20]]/Exp[[#Totals],[Column19]],0)</f>
        <v>0</v>
      </c>
      <c r="U13" s="97">
        <f>SUBTOTAL(109,Exp[Column24])</f>
        <v>0</v>
      </c>
      <c r="V13" s="98">
        <f>SUBTOTAL(109,Exp[Column30])</f>
        <v>0</v>
      </c>
      <c r="W13" s="95">
        <f>SUBTOTAL(109,Exp[Column29])</f>
        <v>0</v>
      </c>
      <c r="X13" s="108">
        <f>IFERROR(Exp[[#Totals],[Column30]]/Exp[[#Totals],[Column24]],0)</f>
        <v>0</v>
      </c>
      <c r="Y13" s="100">
        <f>IFERROR(Exp[[#Totals],[Column24]]/Exp[[#Totals],[Column19]],0)</f>
        <v>0</v>
      </c>
      <c r="Z13" s="101"/>
    </row>
    <row r="14" spans="1:26">
      <c r="A14" s="5" t="s">
        <v>82</v>
      </c>
    </row>
  </sheetData>
  <sheetProtection formatRows="0" insertRows="0" deleteRows="0"/>
  <mergeCells count="11">
    <mergeCell ref="M7:P7"/>
    <mergeCell ref="Q7:T7"/>
    <mergeCell ref="U7:Z7"/>
    <mergeCell ref="A5:Z5"/>
    <mergeCell ref="A7:A8"/>
    <mergeCell ref="B7:B8"/>
    <mergeCell ref="C7:C8"/>
    <mergeCell ref="D7:F7"/>
    <mergeCell ref="G7:G8"/>
    <mergeCell ref="H7:H8"/>
    <mergeCell ref="I7:L7"/>
  </mergeCells>
  <dataValidations count="1">
    <dataValidation allowBlank="1" showInputMessage="1" showErrorMessage="1" prompt="Please fill in the cell with text" sqref="B9:F12" xr:uid="{10DAFA23-FD0E-4E3B-A9E4-02DE0581A55B}"/>
  </dataValidations>
  <pageMargins left="0.7" right="0.7" top="0.75" bottom="0.75" header="0.3" footer="0.3"/>
  <pageSetup paperSize="9" orientation="portrait" verticalDpi="4294967295"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86235-C681-4CF9-B72C-85F5FB29A02A}">
  <dimension ref="A1:AA14"/>
  <sheetViews>
    <sheetView zoomScale="49" zoomScaleNormal="50" zoomScaleSheetLayoutView="45" workbookViewId="0">
      <selection activeCell="X8" activeCellId="4" sqref="I8:I13 L8:M13 P8:Q13 T8:U13 X8:Y13"/>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16.36328125" style="2" customWidth="1"/>
    <col min="8" max="8" width="18.90625" style="2" customWidth="1"/>
    <col min="9" max="9" width="13.36328125" style="2" customWidth="1"/>
    <col min="10" max="11" width="14.81640625" style="2" customWidth="1"/>
    <col min="12" max="12" width="9.81640625" style="2" customWidth="1"/>
    <col min="13" max="13" width="15.08984375" style="2" customWidth="1"/>
    <col min="14" max="14" width="15.81640625" style="2" customWidth="1"/>
    <col min="15" max="17" width="14.81640625" style="2" customWidth="1"/>
    <col min="18" max="18" width="18.36328125" style="2" customWidth="1"/>
    <col min="19" max="19" width="18.7265625" style="2" customWidth="1"/>
    <col min="20" max="20" width="10.90625" style="2" customWidth="1"/>
    <col min="21" max="21" width="14.81640625" style="2" customWidth="1"/>
    <col min="22" max="22" width="16.6328125" style="2" customWidth="1"/>
    <col min="23" max="23" width="21" style="2" customWidth="1"/>
    <col min="24" max="24" width="11" style="2" customWidth="1"/>
    <col min="25" max="25" width="10.26953125" style="2" customWidth="1"/>
    <col min="26" max="26" width="27" style="2" customWidth="1"/>
    <col min="27" max="27" width="14.81640625" style="2" customWidth="1"/>
    <col min="28" max="16384" width="8.7265625" style="21"/>
  </cols>
  <sheetData>
    <row r="1" spans="1:27">
      <c r="V1" s="21"/>
      <c r="W1" s="21"/>
      <c r="X1" s="21"/>
      <c r="Y1" s="21"/>
      <c r="Z1" s="21"/>
      <c r="AA1" s="21"/>
    </row>
    <row r="2" spans="1:27">
      <c r="V2" s="21"/>
      <c r="W2" s="21"/>
      <c r="X2" s="21"/>
      <c r="Y2" s="21"/>
      <c r="Z2" s="21"/>
      <c r="AA2" s="21"/>
    </row>
    <row r="3" spans="1:27">
      <c r="V3" s="21"/>
      <c r="W3" s="21"/>
      <c r="X3" s="21"/>
      <c r="Y3" s="21"/>
      <c r="Z3" s="21"/>
      <c r="AA3" s="21"/>
    </row>
    <row r="4" spans="1:27" hidden="1">
      <c r="V4" s="21"/>
      <c r="W4" s="21"/>
      <c r="X4" s="21"/>
      <c r="Y4" s="21"/>
      <c r="Z4" s="21"/>
      <c r="AA4" s="21"/>
    </row>
    <row r="5" spans="1:27" hidden="1"/>
    <row r="6" spans="1:27" s="2" customFormat="1" ht="83.5" customHeight="1" thickBot="1">
      <c r="A6" s="310" t="s">
        <v>78</v>
      </c>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120"/>
    </row>
    <row r="7" spans="1:27" s="2" customFormat="1" ht="83.5" customHeight="1">
      <c r="A7" s="285" t="s">
        <v>6</v>
      </c>
      <c r="B7" s="287" t="s">
        <v>85</v>
      </c>
      <c r="C7" s="283" t="s">
        <v>58</v>
      </c>
      <c r="D7" s="280" t="s">
        <v>7</v>
      </c>
      <c r="E7" s="281"/>
      <c r="F7" s="282"/>
      <c r="G7" s="292" t="s">
        <v>60</v>
      </c>
      <c r="H7" s="294" t="s">
        <v>66</v>
      </c>
      <c r="I7" s="280" t="s">
        <v>62</v>
      </c>
      <c r="J7" s="281"/>
      <c r="K7" s="281"/>
      <c r="L7" s="282"/>
      <c r="M7" s="280" t="s">
        <v>69</v>
      </c>
      <c r="N7" s="281"/>
      <c r="O7" s="281"/>
      <c r="P7" s="282"/>
      <c r="Q7" s="289" t="s">
        <v>64</v>
      </c>
      <c r="R7" s="290"/>
      <c r="S7" s="290"/>
      <c r="T7" s="291"/>
      <c r="U7" s="277" t="s">
        <v>86</v>
      </c>
      <c r="V7" s="278"/>
      <c r="W7" s="278"/>
      <c r="X7" s="278"/>
      <c r="Y7" s="278"/>
      <c r="Z7" s="279"/>
    </row>
    <row r="8" spans="1:27" s="2" customFormat="1" ht="83.5" customHeight="1" thickBot="1">
      <c r="A8" s="286"/>
      <c r="B8" s="288"/>
      <c r="C8" s="284"/>
      <c r="D8" s="27" t="s">
        <v>57</v>
      </c>
      <c r="E8" s="28" t="s">
        <v>87</v>
      </c>
      <c r="F8" s="29" t="s">
        <v>88</v>
      </c>
      <c r="G8" s="293"/>
      <c r="H8" s="295"/>
      <c r="I8" s="196" t="s">
        <v>0</v>
      </c>
      <c r="J8" s="63" t="s">
        <v>89</v>
      </c>
      <c r="K8" s="63" t="s">
        <v>94</v>
      </c>
      <c r="L8" s="198" t="s">
        <v>12</v>
      </c>
      <c r="M8" s="196" t="s">
        <v>0</v>
      </c>
      <c r="N8" s="63" t="s">
        <v>89</v>
      </c>
      <c r="O8" s="63" t="s">
        <v>94</v>
      </c>
      <c r="P8" s="198" t="s">
        <v>12</v>
      </c>
      <c r="Q8" s="196" t="s">
        <v>61</v>
      </c>
      <c r="R8" s="63" t="s">
        <v>92</v>
      </c>
      <c r="S8" s="63" t="s">
        <v>99</v>
      </c>
      <c r="T8" s="198" t="s">
        <v>12</v>
      </c>
      <c r="U8" s="196" t="s">
        <v>61</v>
      </c>
      <c r="V8" s="64" t="s">
        <v>90</v>
      </c>
      <c r="W8" s="28" t="s">
        <v>96</v>
      </c>
      <c r="X8" s="197" t="s">
        <v>65</v>
      </c>
      <c r="Y8" s="197" t="s">
        <v>35</v>
      </c>
      <c r="Z8" s="61" t="s">
        <v>8</v>
      </c>
    </row>
    <row r="9" spans="1:27" ht="83.5" customHeight="1">
      <c r="A9" s="10">
        <v>1</v>
      </c>
      <c r="B9" s="10"/>
      <c r="C9" s="11" t="s">
        <v>118</v>
      </c>
      <c r="D9" s="6"/>
      <c r="E9" s="6"/>
      <c r="F9" s="6"/>
      <c r="G9" s="10"/>
      <c r="H9" s="10"/>
      <c r="I9" s="226">
        <f>Trans[[#This Row],[Column11]]+Trans[[#This Row],[Column12]]</f>
        <v>0</v>
      </c>
      <c r="J9" s="59">
        <v>0</v>
      </c>
      <c r="K9" s="59">
        <v>0</v>
      </c>
      <c r="L9" s="228">
        <f>IFERROR(J9/I9,0)</f>
        <v>0</v>
      </c>
      <c r="M9" s="226">
        <f>Trans[[#This Row],[Column16]]+Trans[[#This Row],[Column17]]</f>
        <v>0</v>
      </c>
      <c r="N9" s="59">
        <v>0</v>
      </c>
      <c r="O9" s="59">
        <v>0</v>
      </c>
      <c r="P9" s="228">
        <f>IFERROR(N9/M9,0)</f>
        <v>0</v>
      </c>
      <c r="Q9" s="231">
        <f>Trans[[#This Row],[Column20]]+Trans[[#This Row],[Column21]]</f>
        <v>0</v>
      </c>
      <c r="R9" s="71">
        <v>0</v>
      </c>
      <c r="S9" s="71">
        <v>0</v>
      </c>
      <c r="T9" s="49">
        <f>IFERROR(R9/Q9,0)</f>
        <v>0</v>
      </c>
      <c r="U9" s="234">
        <f>Trans[[#This Row],[Column30]]+Trans[[#This Row],[Column29]]</f>
        <v>0</v>
      </c>
      <c r="V9" s="74">
        <v>0</v>
      </c>
      <c r="W9" s="71">
        <v>0</v>
      </c>
      <c r="X9" s="49">
        <f>IFERROR(Trans[[#This Row],[Column30]]/Trans[[#This Row],[Column24]],0)</f>
        <v>0</v>
      </c>
      <c r="Y9" s="237">
        <f>IFERROR(Trans[[#This Row],[Column24]]/Trans[[#This Row],[Column19]],0)</f>
        <v>0</v>
      </c>
      <c r="Z9" s="77"/>
      <c r="AA9" s="21"/>
    </row>
    <row r="10" spans="1:27" ht="83.5" customHeight="1">
      <c r="A10" s="10">
        <v>2</v>
      </c>
      <c r="B10" s="6"/>
      <c r="C10" s="11" t="s">
        <v>118</v>
      </c>
      <c r="D10" s="6"/>
      <c r="E10" s="6"/>
      <c r="F10" s="6"/>
      <c r="G10" s="10"/>
      <c r="H10" s="10"/>
      <c r="I10" s="227">
        <f>Trans[[#This Row],[Column11]]+Trans[[#This Row],[Column12]]</f>
        <v>0</v>
      </c>
      <c r="J10" s="19">
        <v>0</v>
      </c>
      <c r="K10" s="19">
        <v>0</v>
      </c>
      <c r="L10" s="229">
        <f t="shared" ref="L10:L12" si="0">IFERROR(J10/I10,0)</f>
        <v>0</v>
      </c>
      <c r="M10" s="227">
        <f>Trans[[#This Row],[Column16]]+Trans[[#This Row],[Column17]]</f>
        <v>0</v>
      </c>
      <c r="N10" s="19">
        <v>0</v>
      </c>
      <c r="O10" s="19">
        <v>0</v>
      </c>
      <c r="P10" s="229">
        <f t="shared" ref="P10:P12" si="1">IFERROR(N10/M10,0)</f>
        <v>0</v>
      </c>
      <c r="Q10" s="232">
        <f>Trans[[#This Row],[Column20]]+Trans[[#This Row],[Column21]]</f>
        <v>0</v>
      </c>
      <c r="R10" s="32">
        <v>0</v>
      </c>
      <c r="S10" s="32">
        <v>0</v>
      </c>
      <c r="T10" s="53">
        <f t="shared" ref="T10:T12" si="2">IFERROR(R10/Q10,0)</f>
        <v>0</v>
      </c>
      <c r="U10" s="235">
        <f>Trans[[#This Row],[Column30]]+Trans[[#This Row],[Column29]]</f>
        <v>0</v>
      </c>
      <c r="V10" s="34">
        <v>0</v>
      </c>
      <c r="W10" s="32">
        <v>0</v>
      </c>
      <c r="X10" s="53">
        <f>IFERROR(Trans[[#This Row],[Column30]]/Trans[[#This Row],[Column24]],0)</f>
        <v>0</v>
      </c>
      <c r="Y10" s="238">
        <f>IFERROR(W10/V10,0)</f>
        <v>0</v>
      </c>
      <c r="Z10" s="80"/>
      <c r="AA10" s="21"/>
    </row>
    <row r="11" spans="1:27" ht="83.5" customHeight="1">
      <c r="A11" s="10">
        <v>3</v>
      </c>
      <c r="B11" s="10"/>
      <c r="C11" s="11" t="s">
        <v>118</v>
      </c>
      <c r="D11" s="6"/>
      <c r="E11" s="11"/>
      <c r="F11" s="11"/>
      <c r="G11" s="7"/>
      <c r="H11" s="15"/>
      <c r="I11" s="227">
        <f>Trans[[#This Row],[Column11]]+Trans[[#This Row],[Column12]]</f>
        <v>0</v>
      </c>
      <c r="J11" s="19">
        <v>0</v>
      </c>
      <c r="K11" s="19">
        <v>0</v>
      </c>
      <c r="L11" s="229">
        <f t="shared" si="0"/>
        <v>0</v>
      </c>
      <c r="M11" s="227">
        <f>Trans[[#This Row],[Column16]]+Trans[[#This Row],[Column17]]</f>
        <v>0</v>
      </c>
      <c r="N11" s="19">
        <v>0</v>
      </c>
      <c r="O11" s="19">
        <v>0</v>
      </c>
      <c r="P11" s="229">
        <f t="shared" si="1"/>
        <v>0</v>
      </c>
      <c r="Q11" s="232">
        <f>Trans[[#This Row],[Column20]]+Trans[[#This Row],[Column21]]</f>
        <v>0</v>
      </c>
      <c r="R11" s="32">
        <v>0</v>
      </c>
      <c r="S11" s="32">
        <v>0</v>
      </c>
      <c r="T11" s="53">
        <f t="shared" si="2"/>
        <v>0</v>
      </c>
      <c r="U11" s="235">
        <f>Trans[[#This Row],[Column30]]+Trans[[#This Row],[Column29]]</f>
        <v>0</v>
      </c>
      <c r="V11" s="34">
        <v>0</v>
      </c>
      <c r="W11" s="32">
        <v>0</v>
      </c>
      <c r="X11" s="53">
        <f>IFERROR(Trans[[#This Row],[Column30]]/Trans[[#This Row],[Column24]],0)</f>
        <v>0</v>
      </c>
      <c r="Y11" s="238">
        <f>IFERROR(W11/V11,0)</f>
        <v>0</v>
      </c>
      <c r="Z11" s="35"/>
      <c r="AA11" s="21"/>
    </row>
    <row r="12" spans="1:27" ht="16" thickBot="1">
      <c r="A12" s="10">
        <v>4</v>
      </c>
      <c r="B12" s="10"/>
      <c r="C12" s="11"/>
      <c r="D12" s="6"/>
      <c r="E12" s="12"/>
      <c r="F12" s="13"/>
      <c r="G12" s="7"/>
      <c r="H12" s="15"/>
      <c r="I12" s="227">
        <f>Trans[[#This Row],[Column11]]+Trans[[#This Row],[Column12]]</f>
        <v>0</v>
      </c>
      <c r="J12" s="19">
        <v>0</v>
      </c>
      <c r="K12" s="19">
        <v>0</v>
      </c>
      <c r="L12" s="229">
        <f t="shared" si="0"/>
        <v>0</v>
      </c>
      <c r="M12" s="227">
        <f>Trans[[#This Row],[Column16]]+Trans[[#This Row],[Column17]]</f>
        <v>0</v>
      </c>
      <c r="N12" s="19">
        <v>0</v>
      </c>
      <c r="O12" s="19">
        <v>0</v>
      </c>
      <c r="P12" s="229">
        <f t="shared" si="1"/>
        <v>0</v>
      </c>
      <c r="Q12" s="232">
        <f>Trans[[#This Row],[Column20]]+Trans[[#This Row],[Column21]]</f>
        <v>0</v>
      </c>
      <c r="R12" s="32">
        <v>0</v>
      </c>
      <c r="S12" s="32">
        <v>0</v>
      </c>
      <c r="T12" s="53">
        <f t="shared" si="2"/>
        <v>0</v>
      </c>
      <c r="U12" s="235">
        <f>Trans[[#This Row],[Column30]]+Trans[[#This Row],[Column29]]</f>
        <v>0</v>
      </c>
      <c r="V12" s="34">
        <v>0</v>
      </c>
      <c r="W12" s="32">
        <v>0</v>
      </c>
      <c r="X12" s="53">
        <f>IFERROR(Trans[[#This Row],[Column30]]/Trans[[#This Row],[Column24]],0)</f>
        <v>0</v>
      </c>
      <c r="Y12" s="238">
        <f>IFERROR(W12/V12,0)</f>
        <v>0</v>
      </c>
      <c r="Z12" s="9"/>
      <c r="AA12" s="21"/>
    </row>
    <row r="13" spans="1:27" s="102" customFormat="1" ht="83.5" customHeight="1" thickBot="1">
      <c r="A13" s="20"/>
      <c r="B13" s="81"/>
      <c r="C13" s="82"/>
      <c r="D13" s="83" t="s">
        <v>59</v>
      </c>
      <c r="E13" s="84"/>
      <c r="F13" s="85"/>
      <c r="G13" s="87"/>
      <c r="H13" s="88"/>
      <c r="I13" s="91">
        <f>SUBTOTAL(109,Trans[Column10])</f>
        <v>0</v>
      </c>
      <c r="J13" s="92">
        <f>SUBTOTAL(109,Trans[Column11])</f>
        <v>0</v>
      </c>
      <c r="K13" s="92">
        <f>SUBTOTAL(109,Trans[Column12])</f>
        <v>0</v>
      </c>
      <c r="L13" s="103">
        <f>IFERROR(Trans[[#Totals],[Column11]]/Trans[[#Totals],[Column10]],0)</f>
        <v>0</v>
      </c>
      <c r="M13" s="91">
        <f>SUBTOTAL(109,Trans[Column15])</f>
        <v>0</v>
      </c>
      <c r="N13" s="89">
        <f>SUBTOTAL(109,Trans[Column16])</f>
        <v>0</v>
      </c>
      <c r="O13" s="89">
        <f>SUBTOTAL(109,Trans[Column17])</f>
        <v>0</v>
      </c>
      <c r="P13" s="103">
        <f>IFERROR(Trans[[#Totals],[Column16]]/Trans[[#Totals],[Column15]],0)</f>
        <v>0</v>
      </c>
      <c r="Q13" s="94">
        <f>SUBTOTAL(109,Trans[Column19])</f>
        <v>0</v>
      </c>
      <c r="R13" s="95">
        <f>SUBTOTAL(109,Trans[Column20])</f>
        <v>0</v>
      </c>
      <c r="S13" s="95">
        <f>SUBTOTAL(109,Trans[Column21])</f>
        <v>0</v>
      </c>
      <c r="T13" s="105">
        <f>IFERROR(Trans[[#Totals],[Column20]]/Trans[[#Totals],[Column19]],0)</f>
        <v>0</v>
      </c>
      <c r="U13" s="97">
        <f>SUBTOTAL(109,Trans[Column24])</f>
        <v>0</v>
      </c>
      <c r="V13" s="98">
        <f>SUBTOTAL(109,Trans[Column30])</f>
        <v>0</v>
      </c>
      <c r="W13" s="95">
        <f>SUBTOTAL(109,Trans[Column29])</f>
        <v>0</v>
      </c>
      <c r="X13" s="242">
        <f>IFERROR(Trans[[#Totals],[Column30]]/Trans[[#Totals],[Column24]],0)</f>
        <v>0</v>
      </c>
      <c r="Y13" s="100">
        <f>IFERROR(Trans[[#Totals],[Column24]]/Trans[[#Totals],[Column19]],0)</f>
        <v>0</v>
      </c>
      <c r="Z13" s="101"/>
    </row>
    <row r="14" spans="1:27">
      <c r="A14" s="5" t="s">
        <v>82</v>
      </c>
      <c r="AA14" s="21"/>
    </row>
  </sheetData>
  <sheetProtection formatRows="0" insertRows="0" deleteRows="0"/>
  <mergeCells count="11">
    <mergeCell ref="A6:Z6"/>
    <mergeCell ref="U7:Z7"/>
    <mergeCell ref="A7:A8"/>
    <mergeCell ref="B7:B8"/>
    <mergeCell ref="C7:C8"/>
    <mergeCell ref="D7:F7"/>
    <mergeCell ref="G7:G8"/>
    <mergeCell ref="H7:H8"/>
    <mergeCell ref="I7:L7"/>
    <mergeCell ref="M7:P7"/>
    <mergeCell ref="Q7:T7"/>
  </mergeCells>
  <dataValidations count="1">
    <dataValidation allowBlank="1" showInputMessage="1" showErrorMessage="1" prompt="Please fill in the cell with text" sqref="G9:H10 B9:F12" xr:uid="{FE4ABF39-D459-455E-A834-A792DFC12F1E}"/>
  </dataValidations>
  <pageMargins left="0.7" right="0.7" top="0.75" bottom="0.75" header="0.3" footer="0.3"/>
  <pageSetup paperSize="9" orientation="portrait" verticalDpi="4294967295"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477E-7D77-429C-A9D6-C7A5493053EA}">
  <dimension ref="A1:Z14"/>
  <sheetViews>
    <sheetView view="pageBreakPreview" zoomScale="50" zoomScaleNormal="80" zoomScaleSheetLayoutView="50" workbookViewId="0">
      <selection activeCell="R10" sqref="R10:S10"/>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17.08984375" style="2" customWidth="1"/>
    <col min="8" max="8" width="17.81640625" style="2" customWidth="1"/>
    <col min="9" max="10" width="14.81640625" style="2" customWidth="1"/>
    <col min="11" max="11" width="13.90625" style="2" customWidth="1"/>
    <col min="12" max="12" width="9.6328125" style="2" customWidth="1"/>
    <col min="13" max="13" width="14.1796875" style="2" customWidth="1"/>
    <col min="14" max="15" width="14.81640625" style="2" customWidth="1"/>
    <col min="16" max="16" width="10.08984375" style="2" customWidth="1"/>
    <col min="17" max="18" width="15.1796875" style="2" customWidth="1"/>
    <col min="19" max="19" width="20.90625" style="2" customWidth="1"/>
    <col min="20" max="20" width="9.36328125" style="2" customWidth="1"/>
    <col min="21" max="21" width="16.453125" style="2" customWidth="1"/>
    <col min="22" max="23" width="21" style="2" customWidth="1"/>
    <col min="24" max="24" width="10.54296875" style="2" customWidth="1"/>
    <col min="25" max="25" width="10.453125" style="2" customWidth="1"/>
    <col min="26" max="26" width="37.36328125" style="2" customWidth="1"/>
    <col min="27" max="16384" width="8.7265625" style="21"/>
  </cols>
  <sheetData>
    <row r="1" spans="1:26">
      <c r="W1" s="21"/>
      <c r="X1" s="21"/>
      <c r="Y1" s="21"/>
      <c r="Z1" s="21"/>
    </row>
    <row r="2" spans="1:26">
      <c r="B2" s="24"/>
      <c r="W2" s="21"/>
      <c r="X2" s="21"/>
      <c r="Y2" s="21"/>
      <c r="Z2" s="21"/>
    </row>
    <row r="3" spans="1:26">
      <c r="B3" s="24"/>
      <c r="W3" s="21"/>
      <c r="X3" s="21"/>
      <c r="Y3" s="21"/>
      <c r="Z3" s="21"/>
    </row>
    <row r="4" spans="1:26" hidden="1">
      <c r="B4" s="26"/>
      <c r="W4" s="21"/>
      <c r="X4" s="21"/>
      <c r="Y4" s="21"/>
      <c r="Z4" s="21"/>
    </row>
    <row r="5" spans="1:26" hidden="1"/>
    <row r="6" spans="1:26" s="2" customFormat="1" ht="83.5" customHeight="1" thickBot="1">
      <c r="A6" s="318" t="s">
        <v>79</v>
      </c>
      <c r="B6" s="312"/>
      <c r="C6" s="312"/>
      <c r="D6" s="312"/>
      <c r="E6" s="312"/>
      <c r="F6" s="312"/>
      <c r="G6" s="312"/>
      <c r="H6" s="312"/>
      <c r="I6" s="312"/>
      <c r="J6" s="312"/>
      <c r="K6" s="312"/>
      <c r="L6" s="312"/>
      <c r="M6" s="312"/>
      <c r="N6" s="312"/>
      <c r="O6" s="312"/>
      <c r="P6" s="312"/>
      <c r="Q6" s="312"/>
      <c r="R6" s="312"/>
      <c r="S6" s="312"/>
      <c r="T6" s="312"/>
      <c r="U6" s="312"/>
      <c r="V6" s="312"/>
      <c r="W6" s="312"/>
      <c r="X6" s="312"/>
      <c r="Y6" s="312"/>
      <c r="Z6" s="312"/>
    </row>
    <row r="7" spans="1:26" s="2" customFormat="1" ht="83.5" customHeight="1">
      <c r="A7" s="285" t="s">
        <v>6</v>
      </c>
      <c r="B7" s="287" t="s">
        <v>85</v>
      </c>
      <c r="C7" s="283" t="s">
        <v>58</v>
      </c>
      <c r="D7" s="280" t="s">
        <v>7</v>
      </c>
      <c r="E7" s="281"/>
      <c r="F7" s="282"/>
      <c r="G7" s="292" t="s">
        <v>60</v>
      </c>
      <c r="H7" s="294" t="s">
        <v>66</v>
      </c>
      <c r="I7" s="280" t="s">
        <v>62</v>
      </c>
      <c r="J7" s="281"/>
      <c r="K7" s="281"/>
      <c r="L7" s="282"/>
      <c r="M7" s="280" t="s">
        <v>69</v>
      </c>
      <c r="N7" s="281"/>
      <c r="O7" s="281"/>
      <c r="P7" s="282"/>
      <c r="Q7" s="289" t="s">
        <v>64</v>
      </c>
      <c r="R7" s="290"/>
      <c r="S7" s="290"/>
      <c r="T7" s="291"/>
      <c r="U7" s="277" t="s">
        <v>86</v>
      </c>
      <c r="V7" s="278"/>
      <c r="W7" s="278"/>
      <c r="X7" s="278"/>
      <c r="Y7" s="278"/>
      <c r="Z7" s="279"/>
    </row>
    <row r="8" spans="1:26" s="2" customFormat="1" ht="83.5" customHeight="1" thickBot="1">
      <c r="A8" s="286"/>
      <c r="B8" s="288"/>
      <c r="C8" s="284"/>
      <c r="D8" s="27" t="s">
        <v>57</v>
      </c>
      <c r="E8" s="28" t="s">
        <v>87</v>
      </c>
      <c r="F8" s="29" t="s">
        <v>88</v>
      </c>
      <c r="G8" s="293"/>
      <c r="H8" s="295"/>
      <c r="I8" s="196" t="s">
        <v>0</v>
      </c>
      <c r="J8" s="63" t="s">
        <v>89</v>
      </c>
      <c r="K8" s="63" t="s">
        <v>94</v>
      </c>
      <c r="L8" s="198" t="s">
        <v>12</v>
      </c>
      <c r="M8" s="196" t="s">
        <v>0</v>
      </c>
      <c r="N8" s="63" t="s">
        <v>89</v>
      </c>
      <c r="O8" s="63" t="s">
        <v>94</v>
      </c>
      <c r="P8" s="198" t="s">
        <v>12</v>
      </c>
      <c r="Q8" s="196" t="s">
        <v>61</v>
      </c>
      <c r="R8" s="63" t="s">
        <v>92</v>
      </c>
      <c r="S8" s="63" t="s">
        <v>99</v>
      </c>
      <c r="T8" s="198" t="s">
        <v>12</v>
      </c>
      <c r="U8" s="196" t="s">
        <v>61</v>
      </c>
      <c r="V8" s="64" t="s">
        <v>90</v>
      </c>
      <c r="W8" s="28" t="s">
        <v>96</v>
      </c>
      <c r="X8" s="197" t="s">
        <v>65</v>
      </c>
      <c r="Y8" s="197" t="s">
        <v>35</v>
      </c>
      <c r="Z8" s="61" t="s">
        <v>8</v>
      </c>
    </row>
    <row r="9" spans="1:26" ht="83.5" customHeight="1">
      <c r="A9" s="10">
        <v>1</v>
      </c>
      <c r="B9" s="6"/>
      <c r="C9" s="11" t="s">
        <v>118</v>
      </c>
      <c r="D9" s="6"/>
      <c r="E9" s="11"/>
      <c r="F9" s="6"/>
      <c r="G9" s="10"/>
      <c r="H9" s="10"/>
      <c r="I9" s="226">
        <f>Health[[#This Row],[Column11]]+Health[[#This Row],[Column12]]</f>
        <v>0</v>
      </c>
      <c r="J9" s="59">
        <v>0</v>
      </c>
      <c r="K9" s="59">
        <v>0</v>
      </c>
      <c r="L9" s="228">
        <f>IFERROR(J9/I9,0)</f>
        <v>0</v>
      </c>
      <c r="M9" s="226">
        <f>Health[[#This Row],[Column16]]+Health[[#This Row],[Column17]]</f>
        <v>0</v>
      </c>
      <c r="N9" s="59">
        <v>0</v>
      </c>
      <c r="O9" s="59">
        <v>0</v>
      </c>
      <c r="P9" s="228">
        <f>IFERROR(N9/M9,0)</f>
        <v>0</v>
      </c>
      <c r="Q9" s="231">
        <f>Health[[#This Row],[Column20]]+Health[[#This Row],[Column21]]</f>
        <v>0</v>
      </c>
      <c r="R9" s="71">
        <v>0</v>
      </c>
      <c r="S9" s="71">
        <v>0</v>
      </c>
      <c r="T9" s="49">
        <f>IFERROR(R9/Q9,0)</f>
        <v>0</v>
      </c>
      <c r="U9" s="234">
        <f>Health[[#This Row],[Column30]]+Health[[#This Row],[Column29]]</f>
        <v>0</v>
      </c>
      <c r="V9" s="74">
        <v>0</v>
      </c>
      <c r="W9" s="71">
        <v>0</v>
      </c>
      <c r="X9" s="49">
        <f>IFERROR(Health[[#This Row],[Column30]]/Health[[#This Row],[Column24]],0)</f>
        <v>0</v>
      </c>
      <c r="Y9" s="237">
        <f>IFERROR(Health[[#This Row],[Column24]]/Health[[#This Row],[Column19]],0)</f>
        <v>0</v>
      </c>
      <c r="Z9" s="77"/>
    </row>
    <row r="10" spans="1:26" ht="83.5" customHeight="1">
      <c r="A10" s="10">
        <v>2</v>
      </c>
      <c r="B10" s="6"/>
      <c r="C10" s="11" t="s">
        <v>118</v>
      </c>
      <c r="D10" s="6"/>
      <c r="E10" s="11"/>
      <c r="F10" s="11"/>
      <c r="G10" s="36"/>
      <c r="H10" s="78"/>
      <c r="I10" s="227">
        <f>Health[[#This Row],[Column11]]+Health[[#This Row],[Column12]]</f>
        <v>0</v>
      </c>
      <c r="J10" s="19">
        <v>0</v>
      </c>
      <c r="K10" s="19">
        <v>0</v>
      </c>
      <c r="L10" s="229">
        <f t="shared" ref="L10:L12" si="0">IFERROR(J10/I10,0)</f>
        <v>0</v>
      </c>
      <c r="M10" s="227">
        <f>Health[[#This Row],[Column16]]+Health[[#This Row],[Column17]]</f>
        <v>0</v>
      </c>
      <c r="N10" s="19">
        <v>0</v>
      </c>
      <c r="O10" s="19">
        <v>0</v>
      </c>
      <c r="P10" s="229">
        <f>IFERROR(N12/M12,0)</f>
        <v>0</v>
      </c>
      <c r="Q10" s="232">
        <f>Health[[#This Row],[Column20]]+Health[[#This Row],[Column21]]</f>
        <v>0</v>
      </c>
      <c r="R10" s="32">
        <v>0</v>
      </c>
      <c r="S10" s="32">
        <v>0</v>
      </c>
      <c r="T10" s="53">
        <f t="shared" ref="T10:T12" si="1">IFERROR(R10/Q10,0)</f>
        <v>0</v>
      </c>
      <c r="U10" s="235">
        <f>Health[[#This Row],[Column30]]+Health[[#This Row],[Column29]]</f>
        <v>0</v>
      </c>
      <c r="V10" s="34">
        <v>0</v>
      </c>
      <c r="W10" s="32">
        <v>0</v>
      </c>
      <c r="X10" s="53">
        <f>IFERROR(Health[[#This Row],[Column30]]/Health[[#This Row],[Column24]],0)</f>
        <v>0</v>
      </c>
      <c r="Y10" s="238">
        <f>IFERROR(W10/V10,0)</f>
        <v>0</v>
      </c>
      <c r="Z10" s="80"/>
    </row>
    <row r="11" spans="1:26" ht="83.5" customHeight="1">
      <c r="A11" s="10">
        <v>3</v>
      </c>
      <c r="B11" s="10"/>
      <c r="C11" s="11" t="s">
        <v>118</v>
      </c>
      <c r="D11" s="6"/>
      <c r="E11" s="11"/>
      <c r="F11" s="11"/>
      <c r="G11" s="7"/>
      <c r="H11" s="15"/>
      <c r="I11" s="227">
        <f>Health[[#This Row],[Column11]]+Health[[#This Row],[Column12]]</f>
        <v>0</v>
      </c>
      <c r="J11" s="19">
        <v>0</v>
      </c>
      <c r="K11" s="19">
        <v>0</v>
      </c>
      <c r="L11" s="229">
        <f t="shared" si="0"/>
        <v>0</v>
      </c>
      <c r="M11" s="227">
        <f>Health[[#This Row],[Column16]]+Health[[#This Row],[Column17]]</f>
        <v>0</v>
      </c>
      <c r="N11" s="19">
        <v>0</v>
      </c>
      <c r="O11" s="19">
        <v>0</v>
      </c>
      <c r="P11" s="229">
        <f>IFERROR(N11/M11,0)</f>
        <v>0</v>
      </c>
      <c r="Q11" s="232">
        <f>Health[[#This Row],[Column20]]+Health[[#This Row],[Column21]]</f>
        <v>0</v>
      </c>
      <c r="R11" s="32">
        <v>0</v>
      </c>
      <c r="S11" s="32">
        <v>0</v>
      </c>
      <c r="T11" s="53">
        <f t="shared" si="1"/>
        <v>0</v>
      </c>
      <c r="U11" s="235">
        <f>Health[[#This Row],[Column30]]+Health[[#This Row],[Column29]]</f>
        <v>0</v>
      </c>
      <c r="V11" s="34">
        <v>0</v>
      </c>
      <c r="W11" s="32">
        <v>0</v>
      </c>
      <c r="X11" s="53">
        <f>IFERROR(Health[[#This Row],[Column30]]/Health[[#This Row],[Column24]],0)</f>
        <v>0</v>
      </c>
      <c r="Y11" s="238">
        <f>IFERROR(W11/V11,0)</f>
        <v>0</v>
      </c>
      <c r="Z11" s="35"/>
    </row>
    <row r="12" spans="1:26" ht="16" thickBot="1">
      <c r="A12" s="10">
        <v>4</v>
      </c>
      <c r="B12" s="10"/>
      <c r="C12" s="11"/>
      <c r="D12" s="6"/>
      <c r="E12" s="12"/>
      <c r="F12" s="13"/>
      <c r="G12" s="7"/>
      <c r="H12" s="15"/>
      <c r="I12" s="227">
        <f>Health[[#This Row],[Column11]]+Health[[#This Row],[Column12]]</f>
        <v>0</v>
      </c>
      <c r="J12" s="19">
        <v>0</v>
      </c>
      <c r="K12" s="19">
        <v>0</v>
      </c>
      <c r="L12" s="229">
        <f t="shared" si="0"/>
        <v>0</v>
      </c>
      <c r="M12" s="227">
        <f>Health[[#This Row],[Column16]]+Health[[#This Row],[Column17]]</f>
        <v>0</v>
      </c>
      <c r="N12" s="19">
        <v>0</v>
      </c>
      <c r="O12" s="19">
        <v>0</v>
      </c>
      <c r="P12" s="229">
        <f>IFERROR(N12/M12,0)</f>
        <v>0</v>
      </c>
      <c r="Q12" s="232">
        <f>Health[[#This Row],[Column20]]+Health[[#This Row],[Column21]]</f>
        <v>0</v>
      </c>
      <c r="R12" s="32">
        <v>0</v>
      </c>
      <c r="S12" s="32">
        <v>0</v>
      </c>
      <c r="T12" s="53">
        <f t="shared" si="1"/>
        <v>0</v>
      </c>
      <c r="U12" s="235">
        <f>Health[[#This Row],[Column30]]+Health[[#This Row],[Column29]]</f>
        <v>0</v>
      </c>
      <c r="V12" s="34">
        <v>0</v>
      </c>
      <c r="W12" s="32">
        <v>0</v>
      </c>
      <c r="X12" s="53">
        <f>IFERROR(Health[[#This Row],[Column30]]/Health[[#This Row],[Column24]],0)</f>
        <v>0</v>
      </c>
      <c r="Y12" s="238">
        <f>IFERROR(W12/V12,0)</f>
        <v>0</v>
      </c>
      <c r="Z12" s="9"/>
    </row>
    <row r="13" spans="1:26" s="102" customFormat="1" ht="83.5" customHeight="1" thickBot="1">
      <c r="A13" s="20"/>
      <c r="B13" s="81"/>
      <c r="C13" s="82"/>
      <c r="D13" s="83" t="s">
        <v>59</v>
      </c>
      <c r="E13" s="84"/>
      <c r="F13" s="85"/>
      <c r="G13" s="87"/>
      <c r="H13" s="88"/>
      <c r="I13" s="91">
        <f>SUBTOTAL(109,Health[Column10])</f>
        <v>0</v>
      </c>
      <c r="J13" s="92">
        <f>SUBTOTAL(109,Health[Column11])</f>
        <v>0</v>
      </c>
      <c r="K13" s="92">
        <f>SUBTOTAL(109,Health[Column12])</f>
        <v>0</v>
      </c>
      <c r="L13" s="103">
        <f>IFERROR(Health[[#Totals],[Column11]]/Health[[#Totals],[Column10]],0)</f>
        <v>0</v>
      </c>
      <c r="M13" s="91">
        <f>SUBTOTAL(109,Health[Column15])</f>
        <v>0</v>
      </c>
      <c r="N13" s="89">
        <f>SUBTOTAL(109,Health[Column16])</f>
        <v>0</v>
      </c>
      <c r="O13" s="89">
        <f>SUBTOTAL(109,Health[Column17])</f>
        <v>0</v>
      </c>
      <c r="P13" s="103">
        <f>IFERROR(Health[[#Totals],[Column16]]/Health[[#Totals],[Column15]],0)</f>
        <v>0</v>
      </c>
      <c r="Q13" s="94">
        <f>SUBTOTAL(109,Health[Column19])</f>
        <v>0</v>
      </c>
      <c r="R13" s="95">
        <f>SUBTOTAL(109,Health[Column20])</f>
        <v>0</v>
      </c>
      <c r="S13" s="95">
        <f>SUBTOTAL(109,Health[Column21])</f>
        <v>0</v>
      </c>
      <c r="T13" s="105">
        <f>IFERROR(Health[[#Totals],[Column20]]/Health[[#Totals],[Column19]],0)</f>
        <v>0</v>
      </c>
      <c r="U13" s="97">
        <f>SUBTOTAL(109,Health[Column24])</f>
        <v>0</v>
      </c>
      <c r="V13" s="98">
        <f>SUBTOTAL(109,Health[Column30])</f>
        <v>0</v>
      </c>
      <c r="W13" s="95">
        <f>SUBTOTAL(109,Health[Column29])</f>
        <v>0</v>
      </c>
      <c r="X13" s="108">
        <f>IFERROR(Health[[#Totals],[Column30]]/Health[[#Totals],[Column24]],0)</f>
        <v>0</v>
      </c>
      <c r="Y13" s="100">
        <f>IFERROR(Health[[#Totals],[Column24]]/Health[[#Totals],[Column19]],0)</f>
        <v>0</v>
      </c>
      <c r="Z13" s="101"/>
    </row>
    <row r="14" spans="1:26">
      <c r="A14" s="5" t="s">
        <v>82</v>
      </c>
    </row>
  </sheetData>
  <sheetProtection formatRows="0" insertRows="0" deleteRows="0"/>
  <mergeCells count="11">
    <mergeCell ref="M7:P7"/>
    <mergeCell ref="Q7:T7"/>
    <mergeCell ref="U7:Z7"/>
    <mergeCell ref="A6:Z6"/>
    <mergeCell ref="A7:A8"/>
    <mergeCell ref="B7:B8"/>
    <mergeCell ref="C7:C8"/>
    <mergeCell ref="D7:F7"/>
    <mergeCell ref="G7:G8"/>
    <mergeCell ref="H7:H8"/>
    <mergeCell ref="I7:L7"/>
  </mergeCells>
  <dataValidations count="1">
    <dataValidation allowBlank="1" showInputMessage="1" showErrorMessage="1" prompt="Please fill in the cell with text" sqref="B11:B12 D11:F12 C10:C12 B9:H9" xr:uid="{4A65603F-34F8-4DDE-9D88-4839409A0E9D}"/>
  </dataValidations>
  <pageMargins left="0.7" right="0.7" top="0.75" bottom="0.75" header="0.3" footer="0.3"/>
  <pageSetup paperSize="9" orientation="portrait" verticalDpi="4294967295"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8DC9B-46FC-46E9-BE68-17C7A1CFE908}">
  <dimension ref="A1:Z14"/>
  <sheetViews>
    <sheetView view="pageBreakPreview" zoomScale="50" zoomScaleNormal="50" zoomScaleSheetLayoutView="50" workbookViewId="0">
      <selection activeCell="Q10" sqref="Q10"/>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17.6328125" style="2" customWidth="1"/>
    <col min="8" max="8" width="18.6328125" style="2" customWidth="1"/>
    <col min="9" max="11" width="14.81640625" style="2" customWidth="1"/>
    <col min="12" max="12" width="9" style="2" customWidth="1"/>
    <col min="13" max="13" width="15" style="2" customWidth="1"/>
    <col min="14" max="15" width="14.81640625" style="2" customWidth="1"/>
    <col min="16" max="16" width="9.54296875" style="2" customWidth="1"/>
    <col min="17" max="18" width="15.1796875" style="2" customWidth="1"/>
    <col min="19" max="19" width="20.36328125" style="2" customWidth="1"/>
    <col min="20" max="20" width="9.81640625" style="2" customWidth="1"/>
    <col min="21" max="21" width="15.7265625" style="2" customWidth="1"/>
    <col min="22" max="22" width="17.7265625" style="2" customWidth="1"/>
    <col min="23" max="23" width="16.90625" style="2" customWidth="1"/>
    <col min="24" max="24" width="10.90625" style="2" customWidth="1"/>
    <col min="25" max="25" width="9.6328125" style="2" customWidth="1"/>
    <col min="26" max="26" width="34.36328125" style="2" customWidth="1"/>
    <col min="27" max="16384" width="8.7265625" style="21"/>
  </cols>
  <sheetData>
    <row r="1" spans="1:26">
      <c r="W1" s="21"/>
      <c r="X1" s="21"/>
      <c r="Y1" s="21"/>
      <c r="Z1" s="21"/>
    </row>
    <row r="2" spans="1:26">
      <c r="B2" s="24"/>
      <c r="W2" s="21"/>
      <c r="X2" s="21"/>
      <c r="Y2" s="21"/>
      <c r="Z2" s="21"/>
    </row>
    <row r="3" spans="1:26">
      <c r="B3" s="24"/>
      <c r="W3" s="21"/>
      <c r="X3" s="21"/>
      <c r="Y3" s="21"/>
      <c r="Z3" s="21"/>
    </row>
    <row r="4" spans="1:26" hidden="1">
      <c r="B4" s="26"/>
      <c r="W4" s="21"/>
      <c r="X4" s="21"/>
      <c r="Y4" s="21"/>
      <c r="Z4" s="21"/>
    </row>
    <row r="5" spans="1:26" hidden="1"/>
    <row r="6" spans="1:26" s="2" customFormat="1" ht="83.5" customHeight="1" thickBot="1">
      <c r="A6" s="318" t="s">
        <v>81</v>
      </c>
      <c r="B6" s="312"/>
      <c r="C6" s="312"/>
      <c r="D6" s="312"/>
      <c r="E6" s="312"/>
      <c r="F6" s="312"/>
      <c r="G6" s="312"/>
      <c r="H6" s="312"/>
      <c r="I6" s="312"/>
      <c r="J6" s="312"/>
      <c r="K6" s="312"/>
      <c r="L6" s="312"/>
      <c r="M6" s="312"/>
      <c r="N6" s="312"/>
      <c r="O6" s="312"/>
      <c r="P6" s="312"/>
      <c r="Q6" s="312"/>
      <c r="R6" s="312"/>
      <c r="S6" s="312"/>
      <c r="T6" s="312"/>
      <c r="U6" s="312"/>
      <c r="V6" s="312"/>
      <c r="W6" s="312"/>
      <c r="X6" s="312"/>
      <c r="Y6" s="312"/>
      <c r="Z6" s="312"/>
    </row>
    <row r="7" spans="1:26" s="2" customFormat="1" ht="83.5" customHeight="1">
      <c r="A7" s="285" t="s">
        <v>6</v>
      </c>
      <c r="B7" s="287" t="s">
        <v>85</v>
      </c>
      <c r="C7" s="283" t="s">
        <v>58</v>
      </c>
      <c r="D7" s="280" t="s">
        <v>7</v>
      </c>
      <c r="E7" s="281"/>
      <c r="F7" s="282"/>
      <c r="G7" s="292" t="s">
        <v>60</v>
      </c>
      <c r="H7" s="294" t="s">
        <v>66</v>
      </c>
      <c r="I7" s="280" t="s">
        <v>62</v>
      </c>
      <c r="J7" s="281"/>
      <c r="K7" s="281"/>
      <c r="L7" s="282"/>
      <c r="M7" s="280" t="s">
        <v>69</v>
      </c>
      <c r="N7" s="281"/>
      <c r="O7" s="281"/>
      <c r="P7" s="282"/>
      <c r="Q7" s="289" t="s">
        <v>64</v>
      </c>
      <c r="R7" s="290"/>
      <c r="S7" s="290"/>
      <c r="T7" s="291"/>
      <c r="U7" s="277" t="s">
        <v>86</v>
      </c>
      <c r="V7" s="278"/>
      <c r="W7" s="278"/>
      <c r="X7" s="278"/>
      <c r="Y7" s="278"/>
      <c r="Z7" s="279"/>
    </row>
    <row r="8" spans="1:26" s="2" customFormat="1" ht="83.5" customHeight="1" thickBot="1">
      <c r="A8" s="286"/>
      <c r="B8" s="288"/>
      <c r="C8" s="284"/>
      <c r="D8" s="27" t="s">
        <v>57</v>
      </c>
      <c r="E8" s="28" t="s">
        <v>87</v>
      </c>
      <c r="F8" s="29" t="s">
        <v>88</v>
      </c>
      <c r="G8" s="293"/>
      <c r="H8" s="295"/>
      <c r="I8" s="196" t="s">
        <v>0</v>
      </c>
      <c r="J8" s="63" t="s">
        <v>89</v>
      </c>
      <c r="K8" s="63" t="s">
        <v>94</v>
      </c>
      <c r="L8" s="198" t="s">
        <v>12</v>
      </c>
      <c r="M8" s="196" t="s">
        <v>0</v>
      </c>
      <c r="N8" s="63" t="s">
        <v>89</v>
      </c>
      <c r="O8" s="63" t="s">
        <v>94</v>
      </c>
      <c r="P8" s="198" t="s">
        <v>12</v>
      </c>
      <c r="Q8" s="196" t="s">
        <v>61</v>
      </c>
      <c r="R8" s="63" t="s">
        <v>92</v>
      </c>
      <c r="S8" s="63" t="s">
        <v>99</v>
      </c>
      <c r="T8" s="198" t="s">
        <v>12</v>
      </c>
      <c r="U8" s="196" t="s">
        <v>61</v>
      </c>
      <c r="V8" s="64" t="s">
        <v>90</v>
      </c>
      <c r="W8" s="28" t="s">
        <v>96</v>
      </c>
      <c r="X8" s="197" t="s">
        <v>65</v>
      </c>
      <c r="Y8" s="197" t="s">
        <v>35</v>
      </c>
      <c r="Z8" s="61" t="s">
        <v>8</v>
      </c>
    </row>
    <row r="9" spans="1:26" ht="83.5" customHeight="1">
      <c r="A9" s="10">
        <v>1</v>
      </c>
      <c r="B9" s="10"/>
      <c r="C9" s="11" t="s">
        <v>118</v>
      </c>
      <c r="D9" s="6"/>
      <c r="E9" s="11"/>
      <c r="F9" s="11"/>
      <c r="G9" s="65"/>
      <c r="H9" s="66"/>
      <c r="I9" s="226">
        <f>Info[[#This Row],[Column11]]+Info[[#This Row],[Column12]]</f>
        <v>0</v>
      </c>
      <c r="J9" s="59">
        <v>0</v>
      </c>
      <c r="K9" s="59">
        <v>0</v>
      </c>
      <c r="L9" s="228">
        <f>IFERROR(J9/I9,0)</f>
        <v>0</v>
      </c>
      <c r="M9" s="226">
        <f>Info[[#This Row],[Column16]]+Info[[#This Row],[Column17]]</f>
        <v>0</v>
      </c>
      <c r="N9" s="59">
        <v>0</v>
      </c>
      <c r="O9" s="59">
        <v>0</v>
      </c>
      <c r="P9" s="228">
        <f>IFERROR(N9/M9,0)</f>
        <v>0</v>
      </c>
      <c r="Q9" s="231">
        <f>Info[[#This Row],[Column20]]+Info[[#This Row],[Column21]]</f>
        <v>0</v>
      </c>
      <c r="R9" s="71">
        <v>0</v>
      </c>
      <c r="S9" s="71">
        <v>0</v>
      </c>
      <c r="T9" s="49">
        <f>IFERROR(R9/Q9,0)</f>
        <v>0</v>
      </c>
      <c r="U9" s="234">
        <f>Info[[#This Row],[Column30]]+Info[[#This Row],[Column29]]</f>
        <v>0</v>
      </c>
      <c r="V9" s="74">
        <v>0</v>
      </c>
      <c r="W9" s="71">
        <v>0</v>
      </c>
      <c r="X9" s="49">
        <f>IFERROR(Info[[#This Row],[Column30]]/Info[[#This Row],[Column24]],0)</f>
        <v>0</v>
      </c>
      <c r="Y9" s="237">
        <f>IFERROR(Info[[#This Row],[Column24]]/Info[[#This Row],[Column19]],0)</f>
        <v>0</v>
      </c>
      <c r="Z9" s="77"/>
    </row>
    <row r="10" spans="1:26" ht="83.5" customHeight="1">
      <c r="A10" s="10">
        <v>2</v>
      </c>
      <c r="B10" s="6"/>
      <c r="C10" s="11" t="s">
        <v>118</v>
      </c>
      <c r="D10" s="6"/>
      <c r="E10" s="11"/>
      <c r="F10" s="11"/>
      <c r="G10" s="36"/>
      <c r="H10" s="78"/>
      <c r="I10" s="227">
        <f>Info[[#This Row],[Column11]]+Info[[#This Row],[Column12]]</f>
        <v>0</v>
      </c>
      <c r="J10" s="19">
        <v>0</v>
      </c>
      <c r="K10" s="19">
        <v>0</v>
      </c>
      <c r="L10" s="229">
        <f t="shared" ref="L10:L12" si="0">IFERROR(J10/I10,0)</f>
        <v>0</v>
      </c>
      <c r="M10" s="227">
        <f>Info[[#This Row],[Column16]]+Info[[#This Row],[Column17]]</f>
        <v>0</v>
      </c>
      <c r="N10" s="19">
        <v>0</v>
      </c>
      <c r="O10" s="19">
        <v>0</v>
      </c>
      <c r="P10" s="229">
        <f>IFERROR(N12/M12,0)</f>
        <v>0</v>
      </c>
      <c r="Q10" s="232">
        <f>Info[[#This Row],[Column20]]+Info[[#This Row],[Column21]]</f>
        <v>0</v>
      </c>
      <c r="R10" s="32">
        <v>0</v>
      </c>
      <c r="S10" s="32">
        <v>0</v>
      </c>
      <c r="T10" s="53">
        <f t="shared" ref="T10:T12" si="1">IFERROR(R10/Q10,0)</f>
        <v>0</v>
      </c>
      <c r="U10" s="235">
        <f>Info[[#This Row],[Column30]]+Info[[#This Row],[Column29]]</f>
        <v>0</v>
      </c>
      <c r="V10" s="34">
        <v>0</v>
      </c>
      <c r="W10" s="32">
        <v>0</v>
      </c>
      <c r="X10" s="53">
        <f>IFERROR(Info[[#This Row],[Column30]]/Info[[#This Row],[Column24]],0)</f>
        <v>0</v>
      </c>
      <c r="Y10" s="238">
        <f>IFERROR(W10/V10,0)</f>
        <v>0</v>
      </c>
      <c r="Z10" s="80"/>
    </row>
    <row r="11" spans="1:26" ht="83.5" customHeight="1">
      <c r="A11" s="10">
        <v>3</v>
      </c>
      <c r="B11" s="10"/>
      <c r="C11" s="11" t="s">
        <v>118</v>
      </c>
      <c r="D11" s="6"/>
      <c r="E11" s="11"/>
      <c r="F11" s="11"/>
      <c r="G11" s="7"/>
      <c r="H11" s="15"/>
      <c r="I11" s="227">
        <f>Info[[#This Row],[Column11]]+Info[[#This Row],[Column12]]</f>
        <v>0</v>
      </c>
      <c r="J11" s="19">
        <v>0</v>
      </c>
      <c r="K11" s="19">
        <v>0</v>
      </c>
      <c r="L11" s="229">
        <f t="shared" si="0"/>
        <v>0</v>
      </c>
      <c r="M11" s="227">
        <f>Info[[#This Row],[Column16]]+Info[[#This Row],[Column17]]</f>
        <v>0</v>
      </c>
      <c r="N11" s="19">
        <v>0</v>
      </c>
      <c r="O11" s="19">
        <v>0</v>
      </c>
      <c r="P11" s="229">
        <f>IFERROR(N11/M11,0)</f>
        <v>0</v>
      </c>
      <c r="Q11" s="232">
        <f>Info[[#This Row],[Column20]]+Info[[#This Row],[Column21]]</f>
        <v>0</v>
      </c>
      <c r="R11" s="32">
        <v>0</v>
      </c>
      <c r="S11" s="32">
        <v>0</v>
      </c>
      <c r="T11" s="53">
        <f t="shared" si="1"/>
        <v>0</v>
      </c>
      <c r="U11" s="235">
        <f>Info[[#This Row],[Column30]]+Info[[#This Row],[Column29]]</f>
        <v>0</v>
      </c>
      <c r="V11" s="34">
        <v>0</v>
      </c>
      <c r="W11" s="32">
        <v>0</v>
      </c>
      <c r="X11" s="53">
        <f>IFERROR(Info[[#This Row],[Column30]]/Info[[#This Row],[Column24]],0)</f>
        <v>0</v>
      </c>
      <c r="Y11" s="238">
        <f>IFERROR(W11/V11,0)</f>
        <v>0</v>
      </c>
      <c r="Z11" s="35"/>
    </row>
    <row r="12" spans="1:26" ht="16" thickBot="1">
      <c r="A12" s="10">
        <v>4</v>
      </c>
      <c r="B12" s="10"/>
      <c r="C12" s="11"/>
      <c r="D12" s="6"/>
      <c r="E12" s="12"/>
      <c r="F12" s="13"/>
      <c r="G12" s="7"/>
      <c r="H12" s="15"/>
      <c r="I12" s="227">
        <f>Info[[#This Row],[Column11]]+Info[[#This Row],[Column12]]</f>
        <v>0</v>
      </c>
      <c r="J12" s="19">
        <v>0</v>
      </c>
      <c r="K12" s="19">
        <v>0</v>
      </c>
      <c r="L12" s="229">
        <f t="shared" si="0"/>
        <v>0</v>
      </c>
      <c r="M12" s="227">
        <f>Info[[#This Row],[Column16]]+Info[[#This Row],[Column17]]</f>
        <v>0</v>
      </c>
      <c r="N12" s="19">
        <v>0</v>
      </c>
      <c r="O12" s="19">
        <v>0</v>
      </c>
      <c r="P12" s="229">
        <f>IFERROR(N12/M12,0)</f>
        <v>0</v>
      </c>
      <c r="Q12" s="232">
        <f>Info[[#This Row],[Column20]]+Info[[#This Row],[Column21]]</f>
        <v>0</v>
      </c>
      <c r="R12" s="32">
        <v>0</v>
      </c>
      <c r="S12" s="32">
        <v>0</v>
      </c>
      <c r="T12" s="53">
        <f t="shared" si="1"/>
        <v>0</v>
      </c>
      <c r="U12" s="235">
        <f>Info[[#This Row],[Column30]]+Info[[#This Row],[Column29]]</f>
        <v>0</v>
      </c>
      <c r="V12" s="34">
        <v>0</v>
      </c>
      <c r="W12" s="32">
        <v>0</v>
      </c>
      <c r="X12" s="53">
        <f>IFERROR(Info[[#This Row],[Column30]]/Info[[#This Row],[Column24]],0)</f>
        <v>0</v>
      </c>
      <c r="Y12" s="238">
        <f>IFERROR(W12/V12,0)</f>
        <v>0</v>
      </c>
      <c r="Z12" s="9"/>
    </row>
    <row r="13" spans="1:26" s="102" customFormat="1" ht="83.5" customHeight="1" thickBot="1">
      <c r="A13" s="20"/>
      <c r="B13" s="81"/>
      <c r="C13" s="82"/>
      <c r="D13" s="83" t="s">
        <v>59</v>
      </c>
      <c r="E13" s="84"/>
      <c r="F13" s="85"/>
      <c r="G13" s="87"/>
      <c r="H13" s="88"/>
      <c r="I13" s="91">
        <f>SUBTOTAL(109,Info[Column10])</f>
        <v>0</v>
      </c>
      <c r="J13" s="92">
        <f>SUBTOTAL(109,Info[Column11])</f>
        <v>0</v>
      </c>
      <c r="K13" s="92">
        <f>SUBTOTAL(109,Info[Column12])</f>
        <v>0</v>
      </c>
      <c r="L13" s="103">
        <f>IFERROR(Info[[#Totals],[Column11]]/Info[[#Totals],[Column10]],0)</f>
        <v>0</v>
      </c>
      <c r="M13" s="91">
        <f>SUBTOTAL(109,Info[Column15])</f>
        <v>0</v>
      </c>
      <c r="N13" s="89">
        <f>SUBTOTAL(109,Info[Column16])</f>
        <v>0</v>
      </c>
      <c r="O13" s="89">
        <f>SUBTOTAL(109,Info[Column17])</f>
        <v>0</v>
      </c>
      <c r="P13" s="103">
        <f>IFERROR(Info[[#Totals],[Column16]]/Info[[#Totals],[Column15]],0)</f>
        <v>0</v>
      </c>
      <c r="Q13" s="94">
        <f>SUBTOTAL(109,Info[Column19])</f>
        <v>0</v>
      </c>
      <c r="R13" s="95">
        <f>SUBTOTAL(109,Info[Column20])</f>
        <v>0</v>
      </c>
      <c r="S13" s="95">
        <f>SUBTOTAL(109,Info[Column21])</f>
        <v>0</v>
      </c>
      <c r="T13" s="105">
        <f>IFERROR(Info[[#Totals],[Column20]]/Info[[#Totals],[Column19]],0)</f>
        <v>0</v>
      </c>
      <c r="U13" s="97">
        <f>SUBTOTAL(109,Info[Column24])</f>
        <v>0</v>
      </c>
      <c r="V13" s="98">
        <f>SUBTOTAL(109,Info[Column30])</f>
        <v>0</v>
      </c>
      <c r="W13" s="95">
        <f>SUBTOTAL(109,Info[Column29])</f>
        <v>0</v>
      </c>
      <c r="X13" s="108">
        <f>IFERROR(Info[[#Totals],[Column30]]/Info[[#Totals],[Column24]],0)</f>
        <v>0</v>
      </c>
      <c r="Y13" s="100">
        <f>IFERROR(Info[[#Totals],[Column24]]/Info[[#Totals],[Column19]],0)</f>
        <v>0</v>
      </c>
      <c r="Z13" s="101"/>
    </row>
    <row r="14" spans="1:26">
      <c r="A14" s="5" t="s">
        <v>82</v>
      </c>
    </row>
  </sheetData>
  <sheetProtection formatRows="0" insertRows="0" deleteRows="0"/>
  <mergeCells count="11">
    <mergeCell ref="M7:P7"/>
    <mergeCell ref="Q7:T7"/>
    <mergeCell ref="U7:Z7"/>
    <mergeCell ref="A6:Z6"/>
    <mergeCell ref="A7:A8"/>
    <mergeCell ref="B7:B8"/>
    <mergeCell ref="C7:C8"/>
    <mergeCell ref="D7:F7"/>
    <mergeCell ref="G7:G8"/>
    <mergeCell ref="H7:H8"/>
    <mergeCell ref="I7:L7"/>
  </mergeCells>
  <dataValidations count="1">
    <dataValidation allowBlank="1" showInputMessage="1" showErrorMessage="1" prompt="Please fill in the cell with text" sqref="B9:F12" xr:uid="{7BD04D35-B22B-4B10-8201-9860EC4D90AD}"/>
  </dataValidations>
  <pageMargins left="0.7" right="0.7" top="0.75" bottom="0.75" header="0.3" footer="0.3"/>
  <pageSetup paperSize="9" orientation="portrait" verticalDpi="4294967295"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93E7C-90F7-45A2-B4E7-E38A3E9DED25}">
  <dimension ref="A1:Z14"/>
  <sheetViews>
    <sheetView view="pageBreakPreview" zoomScale="50" zoomScaleNormal="55" zoomScaleSheetLayoutView="50" workbookViewId="0">
      <selection activeCell="R10" sqref="R10:S10"/>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16.36328125" style="2" customWidth="1"/>
    <col min="8" max="8" width="18.36328125" style="2" customWidth="1"/>
    <col min="9" max="11" width="14.81640625" style="2" customWidth="1"/>
    <col min="12" max="12" width="11.36328125" style="2" customWidth="1"/>
    <col min="13" max="13" width="15.453125" style="2" customWidth="1"/>
    <col min="14" max="15" width="14.81640625" style="2" customWidth="1"/>
    <col min="16" max="16" width="11" style="2" customWidth="1"/>
    <col min="17" max="18" width="15.1796875" style="2" customWidth="1"/>
    <col min="19" max="19" width="16.26953125" style="2" customWidth="1"/>
    <col min="20" max="20" width="11" style="2" customWidth="1"/>
    <col min="21" max="21" width="16" style="2" customWidth="1"/>
    <col min="22" max="22" width="17.36328125" style="2" customWidth="1"/>
    <col min="23" max="23" width="17" style="2" customWidth="1"/>
    <col min="24" max="24" width="9.08984375" style="2" customWidth="1"/>
    <col min="25" max="25" width="10.26953125" style="2" customWidth="1"/>
    <col min="26" max="26" width="34.36328125" style="2" customWidth="1"/>
    <col min="27" max="16384" width="8.7265625" style="21"/>
  </cols>
  <sheetData>
    <row r="1" spans="1:26">
      <c r="W1" s="21"/>
      <c r="X1" s="21"/>
      <c r="Y1" s="21"/>
      <c r="Z1" s="21"/>
    </row>
    <row r="2" spans="1:26">
      <c r="B2" s="24"/>
      <c r="W2" s="21"/>
      <c r="X2" s="21"/>
      <c r="Y2" s="21"/>
      <c r="Z2" s="21"/>
    </row>
    <row r="3" spans="1:26">
      <c r="B3" s="24"/>
      <c r="W3" s="21"/>
      <c r="X3" s="21"/>
      <c r="Y3" s="21"/>
      <c r="Z3" s="21"/>
    </row>
    <row r="4" spans="1:26" s="102" customFormat="1" hidden="1">
      <c r="A4" s="1"/>
      <c r="B4" s="135"/>
      <c r="C4" s="1"/>
      <c r="D4" s="1"/>
      <c r="E4" s="1"/>
      <c r="F4" s="1"/>
      <c r="G4" s="1"/>
      <c r="H4" s="1"/>
      <c r="I4" s="1"/>
      <c r="J4" s="1"/>
      <c r="K4" s="1"/>
      <c r="L4" s="1"/>
      <c r="M4" s="1"/>
      <c r="N4" s="1"/>
      <c r="O4" s="1"/>
      <c r="P4" s="1"/>
      <c r="Q4" s="1"/>
      <c r="R4" s="1"/>
      <c r="S4" s="1"/>
      <c r="T4" s="1"/>
      <c r="U4" s="1"/>
      <c r="V4" s="1"/>
    </row>
    <row r="5" spans="1:26" s="102" customFormat="1" hidden="1">
      <c r="A5" s="1"/>
      <c r="B5" s="1"/>
      <c r="C5" s="1"/>
      <c r="D5" s="1"/>
      <c r="E5" s="1"/>
      <c r="F5" s="1"/>
      <c r="G5" s="1"/>
      <c r="H5" s="1"/>
      <c r="I5" s="1"/>
      <c r="J5" s="1"/>
      <c r="K5" s="1"/>
      <c r="L5" s="1"/>
      <c r="M5" s="1"/>
      <c r="N5" s="1"/>
      <c r="O5" s="1"/>
      <c r="P5" s="1"/>
      <c r="Q5" s="1"/>
      <c r="R5" s="1"/>
      <c r="S5" s="1"/>
      <c r="T5" s="1"/>
      <c r="U5" s="1"/>
      <c r="V5" s="1"/>
      <c r="W5" s="1"/>
      <c r="X5" s="1"/>
      <c r="Y5" s="1"/>
      <c r="Z5" s="1"/>
    </row>
    <row r="6" spans="1:26" s="2" customFormat="1" ht="83.5" customHeight="1" thickBot="1">
      <c r="A6" s="318" t="s">
        <v>80</v>
      </c>
      <c r="B6" s="312"/>
      <c r="C6" s="312"/>
      <c r="D6" s="312"/>
      <c r="E6" s="312"/>
      <c r="F6" s="312"/>
      <c r="G6" s="312"/>
      <c r="H6" s="312"/>
      <c r="I6" s="312"/>
      <c r="J6" s="312"/>
      <c r="K6" s="312"/>
      <c r="L6" s="312"/>
      <c r="M6" s="312"/>
      <c r="N6" s="312"/>
      <c r="O6" s="312"/>
      <c r="P6" s="312"/>
      <c r="Q6" s="312"/>
      <c r="R6" s="312"/>
      <c r="S6" s="312"/>
      <c r="T6" s="312"/>
      <c r="U6" s="312"/>
      <c r="V6" s="312"/>
      <c r="W6" s="312"/>
      <c r="X6" s="312"/>
      <c r="Y6" s="312"/>
      <c r="Z6" s="312"/>
    </row>
    <row r="7" spans="1:26" s="2" customFormat="1" ht="83.5" customHeight="1">
      <c r="A7" s="285" t="s">
        <v>6</v>
      </c>
      <c r="B7" s="287" t="s">
        <v>85</v>
      </c>
      <c r="C7" s="283" t="s">
        <v>58</v>
      </c>
      <c r="D7" s="280" t="s">
        <v>7</v>
      </c>
      <c r="E7" s="281"/>
      <c r="F7" s="282"/>
      <c r="G7" s="292" t="s">
        <v>60</v>
      </c>
      <c r="H7" s="294" t="s">
        <v>66</v>
      </c>
      <c r="I7" s="280" t="s">
        <v>62</v>
      </c>
      <c r="J7" s="281"/>
      <c r="K7" s="281"/>
      <c r="L7" s="282"/>
      <c r="M7" s="280" t="s">
        <v>69</v>
      </c>
      <c r="N7" s="281"/>
      <c r="O7" s="281"/>
      <c r="P7" s="282"/>
      <c r="Q7" s="289" t="s">
        <v>64</v>
      </c>
      <c r="R7" s="290"/>
      <c r="S7" s="290"/>
      <c r="T7" s="291"/>
      <c r="U7" s="277" t="s">
        <v>86</v>
      </c>
      <c r="V7" s="278"/>
      <c r="W7" s="278"/>
      <c r="X7" s="278"/>
      <c r="Y7" s="278"/>
      <c r="Z7" s="279"/>
    </row>
    <row r="8" spans="1:26" s="2" customFormat="1" ht="83.5" customHeight="1" thickBot="1">
      <c r="A8" s="286"/>
      <c r="B8" s="288"/>
      <c r="C8" s="284"/>
      <c r="D8" s="27" t="s">
        <v>57</v>
      </c>
      <c r="E8" s="28" t="s">
        <v>87</v>
      </c>
      <c r="F8" s="29" t="s">
        <v>88</v>
      </c>
      <c r="G8" s="293"/>
      <c r="H8" s="295"/>
      <c r="I8" s="196" t="s">
        <v>0</v>
      </c>
      <c r="J8" s="63" t="s">
        <v>89</v>
      </c>
      <c r="K8" s="63" t="s">
        <v>94</v>
      </c>
      <c r="L8" s="198" t="s">
        <v>12</v>
      </c>
      <c r="M8" s="196" t="s">
        <v>0</v>
      </c>
      <c r="N8" s="63" t="s">
        <v>89</v>
      </c>
      <c r="O8" s="63" t="s">
        <v>94</v>
      </c>
      <c r="P8" s="198" t="s">
        <v>12</v>
      </c>
      <c r="Q8" s="196" t="s">
        <v>61</v>
      </c>
      <c r="R8" s="63" t="s">
        <v>92</v>
      </c>
      <c r="S8" s="63" t="s">
        <v>99</v>
      </c>
      <c r="T8" s="198" t="s">
        <v>12</v>
      </c>
      <c r="U8" s="196" t="s">
        <v>61</v>
      </c>
      <c r="V8" s="64" t="s">
        <v>90</v>
      </c>
      <c r="W8" s="28" t="s">
        <v>96</v>
      </c>
      <c r="X8" s="197" t="s">
        <v>65</v>
      </c>
      <c r="Y8" s="197" t="s">
        <v>35</v>
      </c>
      <c r="Z8" s="61" t="s">
        <v>8</v>
      </c>
    </row>
    <row r="9" spans="1:26" ht="83.5" customHeight="1">
      <c r="A9" s="10">
        <v>1</v>
      </c>
      <c r="B9" s="10"/>
      <c r="C9" s="11" t="s">
        <v>118</v>
      </c>
      <c r="D9" s="6"/>
      <c r="E9" s="11"/>
      <c r="F9" s="11"/>
      <c r="G9" s="65"/>
      <c r="H9" s="66"/>
      <c r="I9" s="226">
        <f>Mar[[#This Row],[Column11]]+Mar[[#This Row],[Column12]]</f>
        <v>0</v>
      </c>
      <c r="J9" s="59">
        <v>0</v>
      </c>
      <c r="K9" s="59">
        <v>0</v>
      </c>
      <c r="L9" s="228">
        <f>IFERROR(J9/I9,0)</f>
        <v>0</v>
      </c>
      <c r="M9" s="226">
        <f>Mar[[#This Row],[Column16]]+Mar[[#This Row],[Column17]]</f>
        <v>0</v>
      </c>
      <c r="N9" s="59">
        <v>0</v>
      </c>
      <c r="O9" s="59">
        <v>0</v>
      </c>
      <c r="P9" s="228">
        <f>IFERROR(N9/M9,0)</f>
        <v>0</v>
      </c>
      <c r="Q9" s="231">
        <f>Mar[[#This Row],[Column20]]+Mar[[#This Row],[Column21]]</f>
        <v>0</v>
      </c>
      <c r="R9" s="71">
        <v>0</v>
      </c>
      <c r="S9" s="71">
        <v>0</v>
      </c>
      <c r="T9" s="49">
        <f>IFERROR(R9/Q9,0)</f>
        <v>0</v>
      </c>
      <c r="U9" s="234">
        <f>Mar[[#This Row],[Column30]]+Mar[[#This Row],[Column29]]</f>
        <v>0</v>
      </c>
      <c r="V9" s="74">
        <v>0</v>
      </c>
      <c r="W9" s="71">
        <v>0</v>
      </c>
      <c r="X9" s="49">
        <f>IFERROR(Mar[[#This Row],[Column30]]/Mar[[#This Row],[Column24]],0)</f>
        <v>0</v>
      </c>
      <c r="Y9" s="237">
        <f>IFERROR(Mar[[#This Row],[Column24]]/Mar[[#This Row],[Column19]],0)</f>
        <v>0</v>
      </c>
      <c r="Z9" s="77"/>
    </row>
    <row r="10" spans="1:26" ht="83.5" customHeight="1">
      <c r="A10" s="10">
        <v>2</v>
      </c>
      <c r="B10" s="6"/>
      <c r="C10" s="11" t="s">
        <v>118</v>
      </c>
      <c r="D10" s="6"/>
      <c r="E10" s="11"/>
      <c r="F10" s="11"/>
      <c r="G10" s="36"/>
      <c r="H10" s="78"/>
      <c r="I10" s="227">
        <f>Mar[[#This Row],[Column11]]+Mar[[#This Row],[Column12]]</f>
        <v>0</v>
      </c>
      <c r="J10" s="19">
        <v>0</v>
      </c>
      <c r="K10" s="19">
        <v>0</v>
      </c>
      <c r="L10" s="229">
        <f t="shared" ref="L10:L12" si="0">IFERROR(J10/I10,0)</f>
        <v>0</v>
      </c>
      <c r="M10" s="227">
        <f>Mar[[#This Row],[Column16]]+Mar[[#This Row],[Column17]]</f>
        <v>0</v>
      </c>
      <c r="N10" s="19">
        <v>0</v>
      </c>
      <c r="O10" s="19">
        <v>0</v>
      </c>
      <c r="P10" s="229">
        <f>IFERROR(N12/M12,0)</f>
        <v>0</v>
      </c>
      <c r="Q10" s="232">
        <f>Mar[[#This Row],[Column20]]+Mar[[#This Row],[Column21]]</f>
        <v>0</v>
      </c>
      <c r="R10" s="32">
        <v>0</v>
      </c>
      <c r="S10" s="32">
        <v>0</v>
      </c>
      <c r="T10" s="53">
        <f t="shared" ref="T10:T12" si="1">IFERROR(R10/Q10,0)</f>
        <v>0</v>
      </c>
      <c r="U10" s="235">
        <f>Mar[[#This Row],[Column30]]+Mar[[#This Row],[Column29]]</f>
        <v>0</v>
      </c>
      <c r="V10" s="34">
        <v>0</v>
      </c>
      <c r="W10" s="32">
        <v>0</v>
      </c>
      <c r="X10" s="53">
        <f>IFERROR(Mar[[#This Row],[Column30]]/Mar[[#This Row],[Column24]],0)</f>
        <v>0</v>
      </c>
      <c r="Y10" s="238">
        <f>IFERROR(W10/V10,0)</f>
        <v>0</v>
      </c>
      <c r="Z10" s="80"/>
    </row>
    <row r="11" spans="1:26" ht="83.5" customHeight="1">
      <c r="A11" s="10">
        <v>3</v>
      </c>
      <c r="B11" s="10"/>
      <c r="C11" s="11" t="s">
        <v>118</v>
      </c>
      <c r="D11" s="6"/>
      <c r="E11" s="11"/>
      <c r="F11" s="11"/>
      <c r="G11" s="7"/>
      <c r="H11" s="15"/>
      <c r="I11" s="227">
        <f>Mar[[#This Row],[Column11]]+Mar[[#This Row],[Column12]]</f>
        <v>0</v>
      </c>
      <c r="J11" s="19">
        <v>0</v>
      </c>
      <c r="K11" s="19">
        <v>0</v>
      </c>
      <c r="L11" s="229">
        <f t="shared" si="0"/>
        <v>0</v>
      </c>
      <c r="M11" s="227">
        <f>Mar[[#This Row],[Column16]]+Mar[[#This Row],[Column17]]</f>
        <v>0</v>
      </c>
      <c r="N11" s="19">
        <v>0</v>
      </c>
      <c r="O11" s="19">
        <v>0</v>
      </c>
      <c r="P11" s="229">
        <f>IFERROR(N11/M11,0)</f>
        <v>0</v>
      </c>
      <c r="Q11" s="232">
        <f>Mar[[#This Row],[Column20]]+Mar[[#This Row],[Column21]]</f>
        <v>0</v>
      </c>
      <c r="R11" s="32">
        <v>0</v>
      </c>
      <c r="S11" s="32">
        <v>0</v>
      </c>
      <c r="T11" s="53">
        <f t="shared" si="1"/>
        <v>0</v>
      </c>
      <c r="U11" s="235">
        <f>Mar[[#This Row],[Column30]]+Mar[[#This Row],[Column29]]</f>
        <v>0</v>
      </c>
      <c r="V11" s="34">
        <v>0</v>
      </c>
      <c r="W11" s="32">
        <v>0</v>
      </c>
      <c r="X11" s="53">
        <f>IFERROR(Mar[[#This Row],[Column30]]/Mar[[#This Row],[Column24]],0)</f>
        <v>0</v>
      </c>
      <c r="Y11" s="238">
        <f>IFERROR(W11/V11,0)</f>
        <v>0</v>
      </c>
      <c r="Z11" s="35"/>
    </row>
    <row r="12" spans="1:26" ht="16" thickBot="1">
      <c r="A12" s="10">
        <v>4</v>
      </c>
      <c r="B12" s="10"/>
      <c r="C12" s="11"/>
      <c r="D12" s="6"/>
      <c r="E12" s="12"/>
      <c r="F12" s="13"/>
      <c r="G12" s="7"/>
      <c r="H12" s="15"/>
      <c r="I12" s="227">
        <f>Mar[[#This Row],[Column11]]+Mar[[#This Row],[Column12]]</f>
        <v>0</v>
      </c>
      <c r="J12" s="19">
        <v>0</v>
      </c>
      <c r="K12" s="19">
        <v>0</v>
      </c>
      <c r="L12" s="229">
        <f t="shared" si="0"/>
        <v>0</v>
      </c>
      <c r="M12" s="227">
        <f>Mar[[#This Row],[Column16]]+Mar[[#This Row],[Column17]]</f>
        <v>0</v>
      </c>
      <c r="N12" s="19">
        <v>0</v>
      </c>
      <c r="O12" s="19">
        <v>0</v>
      </c>
      <c r="P12" s="229">
        <f>IFERROR(N12/M12,0)</f>
        <v>0</v>
      </c>
      <c r="Q12" s="232">
        <f>Mar[[#This Row],[Column20]]+Mar[[#This Row],[Column21]]</f>
        <v>0</v>
      </c>
      <c r="R12" s="32">
        <v>0</v>
      </c>
      <c r="S12" s="32">
        <v>0</v>
      </c>
      <c r="T12" s="53">
        <f t="shared" si="1"/>
        <v>0</v>
      </c>
      <c r="U12" s="235">
        <f>Mar[[#This Row],[Column30]]+Mar[[#This Row],[Column29]]</f>
        <v>0</v>
      </c>
      <c r="V12" s="34">
        <v>0</v>
      </c>
      <c r="W12" s="32">
        <v>0</v>
      </c>
      <c r="X12" s="53">
        <f>IFERROR(Mar[[#This Row],[Column30]]/Mar[[#This Row],[Column24]],0)</f>
        <v>0</v>
      </c>
      <c r="Y12" s="238">
        <f>IFERROR(W12/V12,0)</f>
        <v>0</v>
      </c>
      <c r="Z12" s="9"/>
    </row>
    <row r="13" spans="1:26" s="102" customFormat="1" ht="83.5" customHeight="1" thickBot="1">
      <c r="A13" s="20"/>
      <c r="B13" s="81"/>
      <c r="C13" s="82"/>
      <c r="D13" s="83" t="s">
        <v>59</v>
      </c>
      <c r="E13" s="84"/>
      <c r="F13" s="85"/>
      <c r="G13" s="87"/>
      <c r="H13" s="88"/>
      <c r="I13" s="91">
        <f>SUBTOTAL(109,Mar[Column10])</f>
        <v>0</v>
      </c>
      <c r="J13" s="92">
        <f>SUBTOTAL(109,Mar[Column11])</f>
        <v>0</v>
      </c>
      <c r="K13" s="92">
        <f>SUBTOTAL(109,Mar[Column12])</f>
        <v>0</v>
      </c>
      <c r="L13" s="103">
        <f>IFERROR(Mar[[#Totals],[Column11]]/Mar[[#Totals],[Column10]],0)</f>
        <v>0</v>
      </c>
      <c r="M13" s="91">
        <f>SUBTOTAL(109,Mar[Column15])</f>
        <v>0</v>
      </c>
      <c r="N13" s="89">
        <f>SUBTOTAL(109,Mar[Column16])</f>
        <v>0</v>
      </c>
      <c r="O13" s="89">
        <f>SUBTOTAL(109,Mar[Column17])</f>
        <v>0</v>
      </c>
      <c r="P13" s="103">
        <f>IFERROR(Mar[[#Totals],[Column16]]/Mar[[#Totals],[Column15]],0)</f>
        <v>0</v>
      </c>
      <c r="Q13" s="94">
        <f>SUBTOTAL(109,Mar[Column19])</f>
        <v>0</v>
      </c>
      <c r="R13" s="95">
        <f>SUBTOTAL(109,Mar[Column20])</f>
        <v>0</v>
      </c>
      <c r="S13" s="95">
        <f>SUBTOTAL(109,Mar[Column21])</f>
        <v>0</v>
      </c>
      <c r="T13" s="105">
        <f>IFERROR(Mar[[#Totals],[Column20]]/Mar[[#Totals],[Column19]],0)</f>
        <v>0</v>
      </c>
      <c r="U13" s="97">
        <f>SUBTOTAL(109,Mar[Column24])</f>
        <v>0</v>
      </c>
      <c r="V13" s="98">
        <f>SUBTOTAL(109,Mar[Column30])</f>
        <v>0</v>
      </c>
      <c r="W13" s="95">
        <f>SUBTOTAL(109,Mar[Column29])</f>
        <v>0</v>
      </c>
      <c r="X13" s="108">
        <f>IFERROR(Mar[[#Totals],[Column30]]/Mar[[#Totals],[Column24]],0)</f>
        <v>0</v>
      </c>
      <c r="Y13" s="100">
        <f>IFERROR(Mar[[#Totals],[Column24]]/Mar[[#Totals],[Column19]],0)</f>
        <v>0</v>
      </c>
      <c r="Z13" s="101"/>
    </row>
    <row r="14" spans="1:26">
      <c r="A14" s="5" t="s">
        <v>82</v>
      </c>
    </row>
  </sheetData>
  <sheetProtection formatRows="0" insertRows="0" deleteRows="0"/>
  <mergeCells count="11">
    <mergeCell ref="M7:P7"/>
    <mergeCell ref="Q7:T7"/>
    <mergeCell ref="U7:Z7"/>
    <mergeCell ref="A6:Z6"/>
    <mergeCell ref="A7:A8"/>
    <mergeCell ref="B7:B8"/>
    <mergeCell ref="C7:C8"/>
    <mergeCell ref="D7:F7"/>
    <mergeCell ref="G7:G8"/>
    <mergeCell ref="H7:H8"/>
    <mergeCell ref="I7:L7"/>
  </mergeCells>
  <dataValidations count="1">
    <dataValidation allowBlank="1" showInputMessage="1" showErrorMessage="1" prompt="Please fill in the cell with text" sqref="B9:F12" xr:uid="{B1734FD8-35D8-4E4E-B1CF-D0FBE43A20B7}"/>
  </dataValidations>
  <pageMargins left="0.7" right="0.7" top="0.75" bottom="0.75" header="0.3" footer="0.3"/>
  <pageSetup paperSize="9" orientation="portrait" verticalDpi="4294967295"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C489-7674-4C97-B47D-D7B57DF61A2A}">
  <dimension ref="A1:Z14"/>
  <sheetViews>
    <sheetView view="pageBreakPreview" zoomScale="50" zoomScaleNormal="55" zoomScaleSheetLayoutView="50" workbookViewId="0">
      <selection activeCell="Q11" sqref="Q11"/>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16.6328125" style="2" customWidth="1"/>
    <col min="8" max="8" width="19.81640625" style="2" customWidth="1"/>
    <col min="9" max="11" width="14.81640625" style="2" customWidth="1"/>
    <col min="12" max="12" width="10.1796875" style="2" customWidth="1"/>
    <col min="13" max="13" width="9.453125" style="2" bestFit="1" customWidth="1"/>
    <col min="14" max="15" width="14.81640625" style="2" customWidth="1"/>
    <col min="16" max="16" width="9.7265625" style="2" customWidth="1"/>
    <col min="17" max="18" width="15.1796875" style="2" customWidth="1"/>
    <col min="19" max="19" width="18.453125" style="2" customWidth="1"/>
    <col min="20" max="20" width="9.54296875" style="2" customWidth="1"/>
    <col min="21" max="21" width="17" style="2" customWidth="1"/>
    <col min="22" max="22" width="17.81640625" style="2" customWidth="1"/>
    <col min="23" max="23" width="18.36328125" style="2" customWidth="1"/>
    <col min="24" max="24" width="12.7265625" style="2" customWidth="1"/>
    <col min="25" max="25" width="11.81640625" style="2" customWidth="1"/>
    <col min="26" max="26" width="23.90625" style="2" customWidth="1"/>
    <col min="27" max="16384" width="8.7265625" style="21"/>
  </cols>
  <sheetData>
    <row r="1" spans="1:26">
      <c r="W1" s="21"/>
      <c r="X1" s="21"/>
      <c r="Y1" s="21"/>
      <c r="Z1" s="21"/>
    </row>
    <row r="2" spans="1:26">
      <c r="B2" s="24"/>
      <c r="W2" s="21"/>
      <c r="X2" s="21"/>
      <c r="Y2" s="21"/>
      <c r="Z2" s="21"/>
    </row>
    <row r="3" spans="1:26">
      <c r="B3" s="24"/>
      <c r="W3" s="21"/>
      <c r="X3" s="21"/>
      <c r="Y3" s="21"/>
      <c r="Z3" s="21"/>
    </row>
    <row r="4" spans="1:26" hidden="1">
      <c r="B4" s="26"/>
      <c r="W4" s="21"/>
      <c r="X4" s="21"/>
      <c r="Y4" s="21"/>
      <c r="Z4" s="21"/>
    </row>
    <row r="5" spans="1:26" hidden="1"/>
    <row r="6" spans="1:26" s="2" customFormat="1" ht="83.5" customHeight="1" thickBot="1">
      <c r="A6" s="318" t="s">
        <v>27</v>
      </c>
      <c r="B6" s="312"/>
      <c r="C6" s="312"/>
      <c r="D6" s="312"/>
      <c r="E6" s="312"/>
      <c r="F6" s="312"/>
      <c r="G6" s="312"/>
      <c r="H6" s="312"/>
      <c r="I6" s="312"/>
      <c r="J6" s="312"/>
      <c r="K6" s="312"/>
      <c r="L6" s="312"/>
      <c r="M6" s="312"/>
      <c r="N6" s="312"/>
      <c r="O6" s="312"/>
      <c r="P6" s="312"/>
      <c r="Q6" s="312"/>
      <c r="R6" s="312"/>
      <c r="S6" s="312"/>
      <c r="T6" s="312"/>
      <c r="U6" s="312"/>
      <c r="V6" s="312"/>
      <c r="W6" s="312"/>
      <c r="X6" s="312"/>
      <c r="Y6" s="312"/>
      <c r="Z6" s="312"/>
    </row>
    <row r="7" spans="1:26" s="2" customFormat="1" ht="83.5" customHeight="1">
      <c r="A7" s="285" t="s">
        <v>6</v>
      </c>
      <c r="B7" s="287" t="s">
        <v>85</v>
      </c>
      <c r="C7" s="283" t="s">
        <v>58</v>
      </c>
      <c r="D7" s="280" t="s">
        <v>7</v>
      </c>
      <c r="E7" s="281"/>
      <c r="F7" s="282"/>
      <c r="G7" s="292" t="s">
        <v>60</v>
      </c>
      <c r="H7" s="294" t="s">
        <v>66</v>
      </c>
      <c r="I7" s="280" t="s">
        <v>62</v>
      </c>
      <c r="J7" s="281"/>
      <c r="K7" s="281"/>
      <c r="L7" s="282"/>
      <c r="M7" s="280" t="s">
        <v>69</v>
      </c>
      <c r="N7" s="281"/>
      <c r="O7" s="281"/>
      <c r="P7" s="282"/>
      <c r="Q7" s="289" t="s">
        <v>64</v>
      </c>
      <c r="R7" s="290"/>
      <c r="S7" s="290"/>
      <c r="T7" s="291"/>
      <c r="U7" s="277" t="s">
        <v>86</v>
      </c>
      <c r="V7" s="278"/>
      <c r="W7" s="278"/>
      <c r="X7" s="278"/>
      <c r="Y7" s="278"/>
      <c r="Z7" s="279"/>
    </row>
    <row r="8" spans="1:26" s="2" customFormat="1" ht="83.5" customHeight="1" thickBot="1">
      <c r="A8" s="286"/>
      <c r="B8" s="288"/>
      <c r="C8" s="284"/>
      <c r="D8" s="27" t="s">
        <v>57</v>
      </c>
      <c r="E8" s="28" t="s">
        <v>87</v>
      </c>
      <c r="F8" s="29" t="s">
        <v>88</v>
      </c>
      <c r="G8" s="293"/>
      <c r="H8" s="295"/>
      <c r="I8" s="196" t="s">
        <v>0</v>
      </c>
      <c r="J8" s="63" t="s">
        <v>89</v>
      </c>
      <c r="K8" s="63" t="s">
        <v>94</v>
      </c>
      <c r="L8" s="198" t="s">
        <v>12</v>
      </c>
      <c r="M8" s="196" t="s">
        <v>0</v>
      </c>
      <c r="N8" s="63" t="s">
        <v>89</v>
      </c>
      <c r="O8" s="63" t="s">
        <v>94</v>
      </c>
      <c r="P8" s="198" t="s">
        <v>12</v>
      </c>
      <c r="Q8" s="196" t="s">
        <v>61</v>
      </c>
      <c r="R8" s="63" t="s">
        <v>92</v>
      </c>
      <c r="S8" s="63" t="s">
        <v>99</v>
      </c>
      <c r="T8" s="198" t="s">
        <v>12</v>
      </c>
      <c r="U8" s="196" t="s">
        <v>61</v>
      </c>
      <c r="V8" s="64" t="s">
        <v>90</v>
      </c>
      <c r="W8" s="28" t="s">
        <v>96</v>
      </c>
      <c r="X8" s="197" t="s">
        <v>65</v>
      </c>
      <c r="Y8" s="197" t="s">
        <v>35</v>
      </c>
      <c r="Z8" s="61" t="s">
        <v>8</v>
      </c>
    </row>
    <row r="9" spans="1:26" ht="83.5" customHeight="1">
      <c r="A9" s="10">
        <v>1</v>
      </c>
      <c r="B9" s="10"/>
      <c r="C9" s="11" t="s">
        <v>118</v>
      </c>
      <c r="D9" s="6"/>
      <c r="E9" s="11"/>
      <c r="F9" s="11"/>
      <c r="G9" s="65"/>
      <c r="H9" s="66"/>
      <c r="I9" s="226">
        <f>Fin[[#This Row],[Column11]]+Fin[[#This Row],[Column12]]</f>
        <v>0</v>
      </c>
      <c r="J9" s="59">
        <v>0</v>
      </c>
      <c r="K9" s="59">
        <v>0</v>
      </c>
      <c r="L9" s="228">
        <f>IFERROR(J9/I9,0)</f>
        <v>0</v>
      </c>
      <c r="M9" s="226">
        <f>Fin[[#This Row],[Column16]]+Fin[[#This Row],[Column17]]</f>
        <v>0</v>
      </c>
      <c r="N9" s="59">
        <v>0</v>
      </c>
      <c r="O9" s="59">
        <v>0</v>
      </c>
      <c r="P9" s="228">
        <f>IFERROR(N9/M9,0)</f>
        <v>0</v>
      </c>
      <c r="Q9" s="231">
        <f>Fin[[#This Row],[Column20]]+Fin[[#This Row],[Column21]]</f>
        <v>0</v>
      </c>
      <c r="R9" s="71">
        <v>0</v>
      </c>
      <c r="S9" s="71">
        <v>0</v>
      </c>
      <c r="T9" s="49">
        <f>IFERROR(R9/Q9,0)</f>
        <v>0</v>
      </c>
      <c r="U9" s="234">
        <f>Fin[[#This Row],[Column30]]+Fin[[#This Row],[Column29]]</f>
        <v>0</v>
      </c>
      <c r="V9" s="74">
        <v>0</v>
      </c>
      <c r="W9" s="71">
        <v>0</v>
      </c>
      <c r="X9" s="49">
        <f>IFERROR(Fin[[#This Row],[Column30]]/Fin[[#This Row],[Column24]],0)</f>
        <v>0</v>
      </c>
      <c r="Y9" s="237">
        <f>IFERROR(Fin[[#This Row],[Column24]]/Fin[[#This Row],[Column19]],0)</f>
        <v>0</v>
      </c>
      <c r="Z9" s="77"/>
    </row>
    <row r="10" spans="1:26" ht="83.5" customHeight="1">
      <c r="A10" s="10">
        <v>2</v>
      </c>
      <c r="B10" s="6"/>
      <c r="C10" s="11" t="s">
        <v>118</v>
      </c>
      <c r="D10" s="6"/>
      <c r="E10" s="11"/>
      <c r="F10" s="11"/>
      <c r="G10" s="36"/>
      <c r="H10" s="78"/>
      <c r="I10" s="227">
        <f>Fin[[#This Row],[Column11]]+Fin[[#This Row],[Column12]]</f>
        <v>0</v>
      </c>
      <c r="J10" s="19">
        <v>0</v>
      </c>
      <c r="K10" s="19">
        <v>0</v>
      </c>
      <c r="L10" s="229">
        <f t="shared" ref="L10:L12" si="0">IFERROR(J10/I10,0)</f>
        <v>0</v>
      </c>
      <c r="M10" s="227">
        <f>Fin[[#This Row],[Column16]]+Fin[[#This Row],[Column17]]</f>
        <v>0</v>
      </c>
      <c r="N10" s="19">
        <v>0</v>
      </c>
      <c r="O10" s="19">
        <v>0</v>
      </c>
      <c r="P10" s="229">
        <f>IFERROR(N12/M12,0)</f>
        <v>0</v>
      </c>
      <c r="Q10" s="232">
        <f>Fin[[#This Row],[Column20]]+Fin[[#This Row],[Column21]]</f>
        <v>0</v>
      </c>
      <c r="R10" s="32">
        <v>0</v>
      </c>
      <c r="S10" s="32">
        <v>0</v>
      </c>
      <c r="T10" s="53">
        <f t="shared" ref="T10:T12" si="1">IFERROR(R10/Q10,0)</f>
        <v>0</v>
      </c>
      <c r="U10" s="235">
        <f>Fin[[#This Row],[Column30]]+Fin[[#This Row],[Column29]]</f>
        <v>0</v>
      </c>
      <c r="V10" s="34">
        <v>0</v>
      </c>
      <c r="W10" s="32">
        <v>0</v>
      </c>
      <c r="X10" s="53">
        <f>IFERROR(Fin[[#This Row],[Column30]]/Fin[[#This Row],[Column24]],0)</f>
        <v>0</v>
      </c>
      <c r="Y10" s="238">
        <f>IFERROR(W10/V10,0)</f>
        <v>0</v>
      </c>
      <c r="Z10" s="80"/>
    </row>
    <row r="11" spans="1:26" ht="83.5" customHeight="1">
      <c r="A11" s="10">
        <v>3</v>
      </c>
      <c r="B11" s="10"/>
      <c r="C11" s="11" t="s">
        <v>118</v>
      </c>
      <c r="D11" s="6"/>
      <c r="E11" s="11"/>
      <c r="F11" s="11"/>
      <c r="G11" s="7"/>
      <c r="H11" s="15"/>
      <c r="I11" s="227">
        <f>Fin[[#This Row],[Column11]]+Fin[[#This Row],[Column12]]</f>
        <v>0</v>
      </c>
      <c r="J11" s="19">
        <v>0</v>
      </c>
      <c r="K11" s="19">
        <v>0</v>
      </c>
      <c r="L11" s="229">
        <f t="shared" si="0"/>
        <v>0</v>
      </c>
      <c r="M11" s="227">
        <f>Fin[[#This Row],[Column16]]+Fin[[#This Row],[Column17]]</f>
        <v>0</v>
      </c>
      <c r="N11" s="19">
        <v>0</v>
      </c>
      <c r="O11" s="19">
        <v>0</v>
      </c>
      <c r="P11" s="229">
        <f>IFERROR(N11/M11,0)</f>
        <v>0</v>
      </c>
      <c r="Q11" s="232">
        <f>Fin[[#This Row],[Column20]]+Fin[[#This Row],[Column21]]</f>
        <v>0</v>
      </c>
      <c r="R11" s="32">
        <v>0</v>
      </c>
      <c r="S11" s="32">
        <v>0</v>
      </c>
      <c r="T11" s="53">
        <f t="shared" si="1"/>
        <v>0</v>
      </c>
      <c r="U11" s="235">
        <f>Fin[[#This Row],[Column30]]+Fin[[#This Row],[Column29]]</f>
        <v>0</v>
      </c>
      <c r="V11" s="34">
        <v>0</v>
      </c>
      <c r="W11" s="32">
        <v>0</v>
      </c>
      <c r="X11" s="53">
        <f>IFERROR(Fin[[#This Row],[Column30]]/Fin[[#This Row],[Column24]],0)</f>
        <v>0</v>
      </c>
      <c r="Y11" s="238">
        <f>IFERROR(W11/V11,0)</f>
        <v>0</v>
      </c>
      <c r="Z11" s="35"/>
    </row>
    <row r="12" spans="1:26" ht="87.5" customHeight="1" thickBot="1">
      <c r="A12" s="10">
        <v>4</v>
      </c>
      <c r="B12" s="10"/>
      <c r="C12" s="11"/>
      <c r="D12" s="6"/>
      <c r="E12" s="12"/>
      <c r="F12" s="13"/>
      <c r="G12" s="7"/>
      <c r="H12" s="15"/>
      <c r="I12" s="227">
        <f>Fin[[#This Row],[Column11]]+Fin[[#This Row],[Column12]]</f>
        <v>0</v>
      </c>
      <c r="J12" s="19">
        <v>0</v>
      </c>
      <c r="K12" s="19">
        <v>0</v>
      </c>
      <c r="L12" s="229">
        <f t="shared" si="0"/>
        <v>0</v>
      </c>
      <c r="M12" s="227">
        <f>Fin[[#This Row],[Column16]]+Fin[[#This Row],[Column17]]</f>
        <v>0</v>
      </c>
      <c r="N12" s="19">
        <v>0</v>
      </c>
      <c r="O12" s="19">
        <v>0</v>
      </c>
      <c r="P12" s="229">
        <f>IFERROR(N12/M12,0)</f>
        <v>0</v>
      </c>
      <c r="Q12" s="232">
        <f>Fin[[#This Row],[Column20]]+Fin[[#This Row],[Column21]]</f>
        <v>0</v>
      </c>
      <c r="R12" s="32">
        <v>0</v>
      </c>
      <c r="S12" s="32">
        <v>0</v>
      </c>
      <c r="T12" s="53">
        <f t="shared" si="1"/>
        <v>0</v>
      </c>
      <c r="U12" s="235">
        <f>Fin[[#This Row],[Column30]]+Fin[[#This Row],[Column29]]</f>
        <v>0</v>
      </c>
      <c r="V12" s="34">
        <v>0</v>
      </c>
      <c r="W12" s="32">
        <v>0</v>
      </c>
      <c r="X12" s="53">
        <f>IFERROR(Fin[[#This Row],[Column30]]/Fin[[#This Row],[Column24]],0)</f>
        <v>0</v>
      </c>
      <c r="Y12" s="238">
        <f>IFERROR(W12/V12,0)</f>
        <v>0</v>
      </c>
      <c r="Z12" s="9"/>
    </row>
    <row r="13" spans="1:26" s="102" customFormat="1" ht="83.5" customHeight="1" thickBot="1">
      <c r="A13" s="20"/>
      <c r="B13" s="81"/>
      <c r="C13" s="82"/>
      <c r="D13" s="83" t="s">
        <v>59</v>
      </c>
      <c r="E13" s="84"/>
      <c r="F13" s="85"/>
      <c r="G13" s="87"/>
      <c r="H13" s="88"/>
      <c r="I13" s="91">
        <f>SUBTOTAL(109,Fin[Column10])</f>
        <v>0</v>
      </c>
      <c r="J13" s="92">
        <f>SUBTOTAL(109,Fin[Column11])</f>
        <v>0</v>
      </c>
      <c r="K13" s="92">
        <f>SUBTOTAL(109,Fin[Column12])</f>
        <v>0</v>
      </c>
      <c r="L13" s="103">
        <f>IFERROR(Fin[[#Totals],[Column11]]/Fin[[#Totals],[Column10]],0)</f>
        <v>0</v>
      </c>
      <c r="M13" s="91">
        <f>SUBTOTAL(109,Fin[Column15])</f>
        <v>0</v>
      </c>
      <c r="N13" s="89">
        <f>SUBTOTAL(109,Fin[Column16])</f>
        <v>0</v>
      </c>
      <c r="O13" s="89">
        <f>SUBTOTAL(109,Fin[Column17])</f>
        <v>0</v>
      </c>
      <c r="P13" s="103">
        <f>IFERROR(Fin[[#Totals],[Column16]]/Fin[[#Totals],[Column15]],0)</f>
        <v>0</v>
      </c>
      <c r="Q13" s="94">
        <f>SUBTOTAL(109,Fin[Column19])</f>
        <v>0</v>
      </c>
      <c r="R13" s="95">
        <f>SUBTOTAL(109,Fin[Column20])</f>
        <v>0</v>
      </c>
      <c r="S13" s="95">
        <f>SUBTOTAL(109,Fin[Column21])</f>
        <v>0</v>
      </c>
      <c r="T13" s="105">
        <f>IFERROR(Fin[[#Totals],[Column20]]/Fin[[#Totals],[Column19]],0)</f>
        <v>0</v>
      </c>
      <c r="U13" s="97">
        <f>SUBTOTAL(109,Fin[Column24])</f>
        <v>0</v>
      </c>
      <c r="V13" s="98">
        <f>SUBTOTAL(109,Fin[Column30])</f>
        <v>0</v>
      </c>
      <c r="W13" s="95">
        <f>SUBTOTAL(109,Fin[Column29])</f>
        <v>0</v>
      </c>
      <c r="X13" s="108">
        <f>IFERROR(Fin[[#Totals],[Column30]]/Fin[[#Totals],[Column24]],0)</f>
        <v>0</v>
      </c>
      <c r="Y13" s="100">
        <f>IFERROR(Fin[[#Totals],[Column24]]/Fin[[#Totals],[Column19]],0)</f>
        <v>0</v>
      </c>
      <c r="Z13" s="101"/>
    </row>
    <row r="14" spans="1:26">
      <c r="A14" s="5" t="s">
        <v>82</v>
      </c>
    </row>
  </sheetData>
  <sheetProtection formatRows="0" insertRows="0" deleteRows="0"/>
  <mergeCells count="11">
    <mergeCell ref="M7:P7"/>
    <mergeCell ref="Q7:T7"/>
    <mergeCell ref="U7:Z7"/>
    <mergeCell ref="A6:Z6"/>
    <mergeCell ref="A7:A8"/>
    <mergeCell ref="B7:B8"/>
    <mergeCell ref="C7:C8"/>
    <mergeCell ref="D7:F7"/>
    <mergeCell ref="G7:G8"/>
    <mergeCell ref="H7:H8"/>
    <mergeCell ref="I7:L7"/>
  </mergeCells>
  <dataValidations count="1">
    <dataValidation allowBlank="1" showInputMessage="1" showErrorMessage="1" prompt="Please fill in the cell with text" sqref="B9:F12" xr:uid="{0002D43F-24A6-4AD6-A330-E0893434FC96}"/>
  </dataValidations>
  <pageMargins left="0.7" right="0.7" top="0.75" bottom="0.75" header="0.3" footer="0.3"/>
  <pageSetup paperSize="9" orientation="portrait" verticalDpi="4294967295"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9F001-4F57-4F09-B670-52DF831E5C38}">
  <dimension ref="A1:Z14"/>
  <sheetViews>
    <sheetView zoomScale="55" zoomScaleNormal="55" workbookViewId="0">
      <selection activeCell="X8" activeCellId="4" sqref="I8:I13 L8:M13 P8:Q13 T8:U13 X8:Y13"/>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18" style="2" customWidth="1"/>
    <col min="8" max="8" width="19.453125" style="2" customWidth="1"/>
    <col min="9" max="10" width="14.81640625" style="2" customWidth="1"/>
    <col min="11" max="11" width="15" style="2" customWidth="1"/>
    <col min="12" max="12" width="11.1796875" style="2" customWidth="1"/>
    <col min="13" max="13" width="15.81640625" style="2" customWidth="1"/>
    <col min="14" max="15" width="14.81640625" style="2" customWidth="1"/>
    <col min="16" max="16" width="10" style="2" customWidth="1"/>
    <col min="17" max="18" width="15.1796875" style="2" customWidth="1"/>
    <col min="19" max="19" width="16.6328125" style="2" customWidth="1"/>
    <col min="20" max="20" width="11.6328125" style="2" customWidth="1"/>
    <col min="21" max="21" width="16" style="2" customWidth="1"/>
    <col min="22" max="22" width="17.1796875" style="2" customWidth="1"/>
    <col min="23" max="23" width="17.6328125" style="2" customWidth="1"/>
    <col min="24" max="24" width="11.26953125" style="2" customWidth="1"/>
    <col min="25" max="25" width="10" style="2" customWidth="1"/>
    <col min="26" max="26" width="27.36328125" style="2" customWidth="1"/>
    <col min="27" max="16384" width="8.7265625" style="21"/>
  </cols>
  <sheetData>
    <row r="1" spans="1:26">
      <c r="W1" s="21"/>
      <c r="X1" s="21"/>
      <c r="Y1" s="21"/>
      <c r="Z1" s="21"/>
    </row>
    <row r="2" spans="1:26">
      <c r="B2" s="24"/>
      <c r="W2" s="21"/>
      <c r="X2" s="21"/>
      <c r="Y2" s="21"/>
      <c r="Z2" s="21"/>
    </row>
    <row r="3" spans="1:26">
      <c r="B3" s="24"/>
      <c r="W3" s="21"/>
      <c r="X3" s="21"/>
      <c r="Y3" s="21"/>
      <c r="Z3" s="21"/>
    </row>
    <row r="4" spans="1:26" hidden="1">
      <c r="B4" s="26"/>
      <c r="W4" s="21"/>
      <c r="X4" s="21"/>
      <c r="Y4" s="21"/>
      <c r="Z4" s="21"/>
    </row>
    <row r="5" spans="1:26" hidden="1"/>
    <row r="6" spans="1:26" s="2" customFormat="1" ht="83.5" customHeight="1" thickBot="1">
      <c r="A6" s="318" t="s">
        <v>28</v>
      </c>
      <c r="B6" s="312"/>
      <c r="C6" s="312"/>
      <c r="D6" s="312"/>
      <c r="E6" s="312"/>
      <c r="F6" s="312"/>
      <c r="G6" s="312"/>
      <c r="H6" s="312"/>
      <c r="I6" s="312"/>
      <c r="J6" s="312"/>
      <c r="K6" s="312"/>
      <c r="L6" s="312"/>
      <c r="M6" s="312"/>
      <c r="N6" s="312"/>
      <c r="O6" s="312"/>
      <c r="P6" s="312"/>
      <c r="Q6" s="312"/>
      <c r="R6" s="312"/>
      <c r="S6" s="312"/>
      <c r="T6" s="312"/>
      <c r="U6" s="312"/>
      <c r="V6" s="312"/>
      <c r="W6" s="312"/>
      <c r="X6" s="312"/>
      <c r="Y6" s="312"/>
      <c r="Z6" s="312"/>
    </row>
    <row r="7" spans="1:26" s="2" customFormat="1" ht="83.5" customHeight="1">
      <c r="A7" s="285" t="s">
        <v>6</v>
      </c>
      <c r="B7" s="287" t="s">
        <v>85</v>
      </c>
      <c r="C7" s="283" t="s">
        <v>58</v>
      </c>
      <c r="D7" s="280" t="s">
        <v>7</v>
      </c>
      <c r="E7" s="281"/>
      <c r="F7" s="282"/>
      <c r="G7" s="292" t="s">
        <v>60</v>
      </c>
      <c r="H7" s="294" t="s">
        <v>66</v>
      </c>
      <c r="I7" s="280" t="s">
        <v>62</v>
      </c>
      <c r="J7" s="281"/>
      <c r="K7" s="281"/>
      <c r="L7" s="282"/>
      <c r="M7" s="280" t="s">
        <v>69</v>
      </c>
      <c r="N7" s="281"/>
      <c r="O7" s="281"/>
      <c r="P7" s="282"/>
      <c r="Q7" s="289" t="s">
        <v>64</v>
      </c>
      <c r="R7" s="290"/>
      <c r="S7" s="290"/>
      <c r="T7" s="291"/>
      <c r="U7" s="277" t="s">
        <v>86</v>
      </c>
      <c r="V7" s="278"/>
      <c r="W7" s="278"/>
      <c r="X7" s="278"/>
      <c r="Y7" s="278"/>
      <c r="Z7" s="279"/>
    </row>
    <row r="8" spans="1:26" s="2" customFormat="1" ht="83.5" customHeight="1" thickBot="1">
      <c r="A8" s="286"/>
      <c r="B8" s="288"/>
      <c r="C8" s="284"/>
      <c r="D8" s="27" t="s">
        <v>57</v>
      </c>
      <c r="E8" s="28" t="s">
        <v>87</v>
      </c>
      <c r="F8" s="29" t="s">
        <v>88</v>
      </c>
      <c r="G8" s="293"/>
      <c r="H8" s="295"/>
      <c r="I8" s="196" t="s">
        <v>0</v>
      </c>
      <c r="J8" s="63" t="s">
        <v>89</v>
      </c>
      <c r="K8" s="63" t="s">
        <v>94</v>
      </c>
      <c r="L8" s="198" t="s">
        <v>12</v>
      </c>
      <c r="M8" s="196" t="s">
        <v>0</v>
      </c>
      <c r="N8" s="63" t="s">
        <v>89</v>
      </c>
      <c r="O8" s="63" t="s">
        <v>94</v>
      </c>
      <c r="P8" s="198" t="s">
        <v>12</v>
      </c>
      <c r="Q8" s="196" t="s">
        <v>61</v>
      </c>
      <c r="R8" s="63" t="s">
        <v>92</v>
      </c>
      <c r="S8" s="63" t="s">
        <v>99</v>
      </c>
      <c r="T8" s="198" t="s">
        <v>12</v>
      </c>
      <c r="U8" s="196" t="s">
        <v>61</v>
      </c>
      <c r="V8" s="64" t="s">
        <v>90</v>
      </c>
      <c r="W8" s="28" t="s">
        <v>96</v>
      </c>
      <c r="X8" s="197" t="s">
        <v>65</v>
      </c>
      <c r="Y8" s="197" t="s">
        <v>35</v>
      </c>
      <c r="Z8" s="61" t="s">
        <v>8</v>
      </c>
    </row>
    <row r="9" spans="1:26" ht="83.5" customHeight="1">
      <c r="A9" s="10">
        <v>1</v>
      </c>
      <c r="B9" s="10"/>
      <c r="C9" s="11" t="s">
        <v>118</v>
      </c>
      <c r="D9" s="6"/>
      <c r="E9" s="11"/>
      <c r="F9" s="11"/>
      <c r="G9" s="65"/>
      <c r="H9" s="66"/>
      <c r="I9" s="226">
        <f>Inst[[#This Row],[Column11]]+Inst[[#This Row],[Column12]]</f>
        <v>0</v>
      </c>
      <c r="J9" s="59">
        <v>0</v>
      </c>
      <c r="K9" s="59">
        <v>0</v>
      </c>
      <c r="L9" s="228">
        <f>IFERROR(J9/I9,0)</f>
        <v>0</v>
      </c>
      <c r="M9" s="226">
        <f>Inst[[#This Row],[Column16]]+Inst[[#This Row],[Column17]]</f>
        <v>0</v>
      </c>
      <c r="N9" s="59">
        <v>0</v>
      </c>
      <c r="O9" s="59">
        <v>0</v>
      </c>
      <c r="P9" s="228">
        <f>IFERROR(N9/M9,0)</f>
        <v>0</v>
      </c>
      <c r="Q9" s="231">
        <f>Inst[[#This Row],[Column20]]+Inst[[#This Row],[Column21]]</f>
        <v>0</v>
      </c>
      <c r="R9" s="71">
        <v>0</v>
      </c>
      <c r="S9" s="71">
        <v>0</v>
      </c>
      <c r="T9" s="49">
        <f>IFERROR(R9/Q9,0)</f>
        <v>0</v>
      </c>
      <c r="U9" s="234">
        <f>Inst[[#This Row],[Column30]]+Inst[[#This Row],[Column29]]</f>
        <v>0</v>
      </c>
      <c r="V9" s="74">
        <v>0</v>
      </c>
      <c r="W9" s="71">
        <v>0</v>
      </c>
      <c r="X9" s="49">
        <f>IFERROR(Inst[[#This Row],[Column30]]/Inst[[#This Row],[Column24]],0)</f>
        <v>0</v>
      </c>
      <c r="Y9" s="237">
        <f>IFERROR(Inst[[#This Row],[Column24]]/Inst[[#This Row],[Column19]],0)</f>
        <v>0</v>
      </c>
      <c r="Z9" s="77"/>
    </row>
    <row r="10" spans="1:26" ht="83.5" customHeight="1">
      <c r="A10" s="10">
        <v>2</v>
      </c>
      <c r="B10" s="6"/>
      <c r="C10" s="11" t="s">
        <v>118</v>
      </c>
      <c r="D10" s="6"/>
      <c r="E10" s="11"/>
      <c r="F10" s="11"/>
      <c r="G10" s="36"/>
      <c r="H10" s="78"/>
      <c r="I10" s="227">
        <f>Inst[[#This Row],[Column11]]+Inst[[#This Row],[Column12]]</f>
        <v>0</v>
      </c>
      <c r="J10" s="19">
        <v>0</v>
      </c>
      <c r="K10" s="19">
        <v>0</v>
      </c>
      <c r="L10" s="229">
        <f t="shared" ref="L10:L12" si="0">IFERROR(J10/I10,0)</f>
        <v>0</v>
      </c>
      <c r="M10" s="226">
        <f>Inst[[#This Row],[Column16]]+Inst[[#This Row],[Column17]]</f>
        <v>0</v>
      </c>
      <c r="N10" s="19">
        <v>0</v>
      </c>
      <c r="O10" s="19">
        <v>0</v>
      </c>
      <c r="P10" s="229">
        <f t="shared" ref="P10:P12" si="1">IFERROR(N10/M10,0)</f>
        <v>0</v>
      </c>
      <c r="Q10" s="232">
        <f>Inst[[#This Row],[Column20]]+Inst[[#This Row],[Column21]]</f>
        <v>0</v>
      </c>
      <c r="R10" s="32">
        <v>0</v>
      </c>
      <c r="S10" s="32">
        <v>0</v>
      </c>
      <c r="T10" s="53">
        <f t="shared" ref="T10:T12" si="2">IFERROR(R10/Q10,0)</f>
        <v>0</v>
      </c>
      <c r="U10" s="235">
        <f>Inst[[#This Row],[Column30]]+Inst[[#This Row],[Column29]]</f>
        <v>0</v>
      </c>
      <c r="V10" s="34">
        <v>0</v>
      </c>
      <c r="W10" s="32">
        <v>0</v>
      </c>
      <c r="X10" s="53">
        <f>IFERROR(Inst[[#This Row],[Column30]]/Inst[[#This Row],[Column24]],0)</f>
        <v>0</v>
      </c>
      <c r="Y10" s="238">
        <f>IFERROR(W10/V10,0)</f>
        <v>0</v>
      </c>
      <c r="Z10" s="80"/>
    </row>
    <row r="11" spans="1:26" ht="83.5" customHeight="1">
      <c r="A11" s="10">
        <v>3</v>
      </c>
      <c r="B11" s="10"/>
      <c r="C11" s="11" t="s">
        <v>118</v>
      </c>
      <c r="D11" s="6"/>
      <c r="E11" s="11"/>
      <c r="F11" s="11"/>
      <c r="G11" s="7"/>
      <c r="H11" s="15"/>
      <c r="I11" s="227">
        <f>Inst[[#This Row],[Column11]]+Inst[[#This Row],[Column12]]</f>
        <v>0</v>
      </c>
      <c r="J11" s="19">
        <v>0</v>
      </c>
      <c r="K11" s="19">
        <v>0</v>
      </c>
      <c r="L11" s="229">
        <f t="shared" si="0"/>
        <v>0</v>
      </c>
      <c r="M11" s="226">
        <f>Inst[[#This Row],[Column16]]+Inst[[#This Row],[Column17]]</f>
        <v>0</v>
      </c>
      <c r="N11" s="19">
        <v>0</v>
      </c>
      <c r="O11" s="19">
        <v>0</v>
      </c>
      <c r="P11" s="229">
        <f t="shared" si="1"/>
        <v>0</v>
      </c>
      <c r="Q11" s="232">
        <f>Inst[[#This Row],[Column20]]+Inst[[#This Row],[Column21]]</f>
        <v>0</v>
      </c>
      <c r="R11" s="32">
        <v>0</v>
      </c>
      <c r="S11" s="32">
        <v>0</v>
      </c>
      <c r="T11" s="53">
        <f t="shared" si="2"/>
        <v>0</v>
      </c>
      <c r="U11" s="235">
        <f>Inst[[#This Row],[Column30]]+Inst[[#This Row],[Column29]]</f>
        <v>0</v>
      </c>
      <c r="V11" s="34">
        <v>0</v>
      </c>
      <c r="W11" s="32">
        <v>0</v>
      </c>
      <c r="X11" s="53">
        <f>IFERROR(Inst[[#This Row],[Column30]]/Inst[[#This Row],[Column24]],0)</f>
        <v>0</v>
      </c>
      <c r="Y11" s="238">
        <f>IFERROR(W11/V11,0)</f>
        <v>0</v>
      </c>
      <c r="Z11" s="35"/>
    </row>
    <row r="12" spans="1:26" ht="88.5" customHeight="1" thickBot="1">
      <c r="A12" s="10">
        <v>4</v>
      </c>
      <c r="B12" s="10"/>
      <c r="C12" s="11"/>
      <c r="D12" s="6"/>
      <c r="E12" s="12"/>
      <c r="F12" s="13"/>
      <c r="G12" s="7"/>
      <c r="H12" s="15"/>
      <c r="I12" s="227">
        <f>Inst[[#This Row],[Column11]]+Inst[[#This Row],[Column12]]</f>
        <v>0</v>
      </c>
      <c r="J12" s="19">
        <v>0</v>
      </c>
      <c r="K12" s="19">
        <v>0</v>
      </c>
      <c r="L12" s="229">
        <f t="shared" si="0"/>
        <v>0</v>
      </c>
      <c r="M12" s="226">
        <f>Inst[[#This Row],[Column16]]+Inst[[#This Row],[Column17]]</f>
        <v>0</v>
      </c>
      <c r="N12" s="19">
        <v>0</v>
      </c>
      <c r="O12" s="19">
        <v>0</v>
      </c>
      <c r="P12" s="229">
        <f t="shared" si="1"/>
        <v>0</v>
      </c>
      <c r="Q12" s="232">
        <f>Inst[[#This Row],[Column20]]+Inst[[#This Row],[Column21]]</f>
        <v>0</v>
      </c>
      <c r="R12" s="32">
        <v>0</v>
      </c>
      <c r="S12" s="32">
        <v>0</v>
      </c>
      <c r="T12" s="53">
        <f t="shared" si="2"/>
        <v>0</v>
      </c>
      <c r="U12" s="235">
        <f>Inst[[#This Row],[Column30]]+Inst[[#This Row],[Column29]]</f>
        <v>0</v>
      </c>
      <c r="V12" s="34">
        <v>0</v>
      </c>
      <c r="W12" s="32">
        <v>0</v>
      </c>
      <c r="X12" s="53">
        <f>IFERROR(Inst[[#This Row],[Column30]]/Inst[[#This Row],[Column24]],0)</f>
        <v>0</v>
      </c>
      <c r="Y12" s="238">
        <f>IFERROR(W12/V12,0)</f>
        <v>0</v>
      </c>
      <c r="Z12" s="9"/>
    </row>
    <row r="13" spans="1:26" s="102" customFormat="1" ht="83.5" customHeight="1" thickBot="1">
      <c r="A13" s="20"/>
      <c r="B13" s="81"/>
      <c r="C13" s="82"/>
      <c r="D13" s="83" t="s">
        <v>59</v>
      </c>
      <c r="E13" s="84"/>
      <c r="F13" s="85"/>
      <c r="G13" s="87"/>
      <c r="H13" s="88"/>
      <c r="I13" s="91">
        <f>SUBTOTAL(109,Inst[Column10])</f>
        <v>0</v>
      </c>
      <c r="J13" s="92">
        <f>SUBTOTAL(109,Inst[Column11])</f>
        <v>0</v>
      </c>
      <c r="K13" s="92">
        <f>SUBTOTAL(109,Inst[Column12])</f>
        <v>0</v>
      </c>
      <c r="L13" s="103">
        <f>IFERROR(Inst[[#Totals],[Column11]]/Inst[[#Totals],[Column10]],0)</f>
        <v>0</v>
      </c>
      <c r="M13" s="91">
        <f>SUBTOTAL(109,Inst[Column15])</f>
        <v>0</v>
      </c>
      <c r="N13" s="89">
        <f>SUBTOTAL(109,Inst[Column16])</f>
        <v>0</v>
      </c>
      <c r="O13" s="89">
        <f>SUBTOTAL(109,Inst[Column17])</f>
        <v>0</v>
      </c>
      <c r="P13" s="103">
        <f>IFERROR(Inst[[#Totals],[Column16]]/Inst[[#Totals],[Column15]],0)</f>
        <v>0</v>
      </c>
      <c r="Q13" s="94">
        <f>SUBTOTAL(109,Inst[Column19])</f>
        <v>0</v>
      </c>
      <c r="R13" s="95">
        <f>SUBTOTAL(109,Inst[Column20])</f>
        <v>0</v>
      </c>
      <c r="S13" s="95">
        <f>SUBTOTAL(109,Inst[Column21])</f>
        <v>0</v>
      </c>
      <c r="T13" s="105">
        <f>IFERROR(Inst[[#Totals],[Column20]]/Inst[[#Totals],[Column19]],0)</f>
        <v>0</v>
      </c>
      <c r="U13" s="97">
        <f>SUBTOTAL(109,Inst[Column24])</f>
        <v>0</v>
      </c>
      <c r="V13" s="98">
        <f>SUBTOTAL(109,Inst[Column30])</f>
        <v>0</v>
      </c>
      <c r="W13" s="95">
        <f>SUBTOTAL(109,Inst[Column29])</f>
        <v>0</v>
      </c>
      <c r="X13" s="108">
        <f>IFERROR(Inst[[#Totals],[Column30]]/Inst[[#Totals],[Column24]],0)</f>
        <v>0</v>
      </c>
      <c r="Y13" s="100">
        <f>IFERROR(Inst[[#Totals],[Column24]]/Inst[[#Totals],[Column19]],0)</f>
        <v>0</v>
      </c>
      <c r="Z13" s="101"/>
    </row>
    <row r="14" spans="1:26">
      <c r="A14" s="5" t="s">
        <v>82</v>
      </c>
    </row>
  </sheetData>
  <sheetProtection formatRows="0" insertRows="0" deleteRows="0"/>
  <mergeCells count="11">
    <mergeCell ref="M7:P7"/>
    <mergeCell ref="Q7:T7"/>
    <mergeCell ref="U7:Z7"/>
    <mergeCell ref="A6:Z6"/>
    <mergeCell ref="A7:A8"/>
    <mergeCell ref="B7:B8"/>
    <mergeCell ref="C7:C8"/>
    <mergeCell ref="D7:F7"/>
    <mergeCell ref="G7:G8"/>
    <mergeCell ref="H7:H8"/>
    <mergeCell ref="I7:L7"/>
  </mergeCells>
  <dataValidations disablePrompts="1" count="1">
    <dataValidation allowBlank="1" showInputMessage="1" showErrorMessage="1" prompt="Please fill in the cell with text" sqref="B9:F12" xr:uid="{1FE9CAC0-4E00-42B4-8027-9C9645BE09B8}"/>
  </dataValidations>
  <pageMargins left="0.7" right="0.7" top="0.75" bottom="0.75" header="0.3" footer="0.3"/>
  <pageSetup paperSize="9" orientation="portrait" verticalDpi="4294967295"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35541-664C-486B-A526-9A96C76EFE54}">
  <dimension ref="A1:Z14"/>
  <sheetViews>
    <sheetView zoomScale="55" zoomScaleNormal="55" workbookViewId="0">
      <selection activeCell="X8" activeCellId="4" sqref="I8:I13 L8:M13 P8:Q13 T8:U13 X8:Y13"/>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19.1796875" style="2" customWidth="1"/>
    <col min="8" max="8" width="18.6328125" style="2" customWidth="1"/>
    <col min="9" max="11" width="14.81640625" style="2" customWidth="1"/>
    <col min="12" max="12" width="9.81640625" style="2" customWidth="1"/>
    <col min="13" max="13" width="14.6328125" style="2" customWidth="1"/>
    <col min="14" max="15" width="14.81640625" style="2" customWidth="1"/>
    <col min="16" max="16" width="9.81640625" style="2" customWidth="1"/>
    <col min="17" max="18" width="15.1796875" style="2" customWidth="1"/>
    <col min="19" max="19" width="16.81640625" style="2" customWidth="1"/>
    <col min="20" max="20" width="10.7265625" style="2" customWidth="1"/>
    <col min="21" max="21" width="16.54296875" style="2" customWidth="1"/>
    <col min="22" max="22" width="17.36328125" style="2" customWidth="1"/>
    <col min="23" max="23" width="16.54296875" style="2" customWidth="1"/>
    <col min="24" max="24" width="10.453125" style="2" customWidth="1"/>
    <col min="25" max="25" width="10.26953125" style="2" customWidth="1"/>
    <col min="26" max="26" width="36" style="2" customWidth="1"/>
    <col min="27" max="16384" width="8.7265625" style="21"/>
  </cols>
  <sheetData>
    <row r="1" spans="1:26">
      <c r="W1" s="21"/>
      <c r="X1" s="21"/>
      <c r="Y1" s="21"/>
      <c r="Z1" s="21"/>
    </row>
    <row r="2" spans="1:26">
      <c r="B2" s="24"/>
      <c r="W2" s="21"/>
      <c r="X2" s="21"/>
      <c r="Y2" s="21"/>
      <c r="Z2" s="21"/>
    </row>
    <row r="3" spans="1:26">
      <c r="B3" s="24"/>
      <c r="W3" s="21"/>
      <c r="X3" s="21"/>
      <c r="Y3" s="21"/>
      <c r="Z3" s="21"/>
    </row>
    <row r="4" spans="1:26" hidden="1">
      <c r="B4" s="26"/>
      <c r="W4" s="21"/>
      <c r="X4" s="21"/>
      <c r="Y4" s="21"/>
      <c r="Z4" s="21"/>
    </row>
    <row r="5" spans="1:26" hidden="1"/>
    <row r="6" spans="1:26" s="2" customFormat="1" ht="83.5" customHeight="1" thickBot="1">
      <c r="A6" s="318" t="s">
        <v>29</v>
      </c>
      <c r="B6" s="312"/>
      <c r="C6" s="312"/>
      <c r="D6" s="312"/>
      <c r="E6" s="312"/>
      <c r="F6" s="312"/>
      <c r="G6" s="312"/>
      <c r="H6" s="312"/>
      <c r="I6" s="312"/>
      <c r="J6" s="312"/>
      <c r="K6" s="312"/>
      <c r="L6" s="312"/>
      <c r="M6" s="312"/>
      <c r="N6" s="312"/>
      <c r="O6" s="312"/>
      <c r="P6" s="312"/>
      <c r="Q6" s="312"/>
      <c r="R6" s="312"/>
      <c r="S6" s="312"/>
      <c r="T6" s="312"/>
      <c r="U6" s="312"/>
      <c r="V6" s="312"/>
      <c r="W6" s="312"/>
      <c r="X6" s="312"/>
      <c r="Y6" s="312"/>
      <c r="Z6" s="312"/>
    </row>
    <row r="7" spans="1:26" s="2" customFormat="1" ht="83.5" customHeight="1">
      <c r="A7" s="285" t="s">
        <v>6</v>
      </c>
      <c r="B7" s="287" t="s">
        <v>85</v>
      </c>
      <c r="C7" s="283" t="s">
        <v>58</v>
      </c>
      <c r="D7" s="280" t="s">
        <v>7</v>
      </c>
      <c r="E7" s="281"/>
      <c r="F7" s="282"/>
      <c r="G7" s="292" t="s">
        <v>60</v>
      </c>
      <c r="H7" s="294" t="s">
        <v>66</v>
      </c>
      <c r="I7" s="280" t="s">
        <v>62</v>
      </c>
      <c r="J7" s="281"/>
      <c r="K7" s="281"/>
      <c r="L7" s="282"/>
      <c r="M7" s="280" t="s">
        <v>69</v>
      </c>
      <c r="N7" s="281"/>
      <c r="O7" s="281"/>
      <c r="P7" s="282"/>
      <c r="Q7" s="289" t="s">
        <v>64</v>
      </c>
      <c r="R7" s="290"/>
      <c r="S7" s="290"/>
      <c r="T7" s="291"/>
      <c r="U7" s="277" t="s">
        <v>86</v>
      </c>
      <c r="V7" s="278"/>
      <c r="W7" s="278"/>
      <c r="X7" s="278"/>
      <c r="Y7" s="278"/>
      <c r="Z7" s="279"/>
    </row>
    <row r="8" spans="1:26" s="2" customFormat="1" ht="83.5" customHeight="1" thickBot="1">
      <c r="A8" s="286"/>
      <c r="B8" s="288"/>
      <c r="C8" s="284"/>
      <c r="D8" s="27" t="s">
        <v>57</v>
      </c>
      <c r="E8" s="28" t="s">
        <v>87</v>
      </c>
      <c r="F8" s="29" t="s">
        <v>88</v>
      </c>
      <c r="G8" s="293"/>
      <c r="H8" s="295"/>
      <c r="I8" s="196" t="s">
        <v>0</v>
      </c>
      <c r="J8" s="63" t="s">
        <v>89</v>
      </c>
      <c r="K8" s="63" t="s">
        <v>94</v>
      </c>
      <c r="L8" s="198" t="s">
        <v>12</v>
      </c>
      <c r="M8" s="196" t="s">
        <v>0</v>
      </c>
      <c r="N8" s="63" t="s">
        <v>89</v>
      </c>
      <c r="O8" s="63" t="s">
        <v>94</v>
      </c>
      <c r="P8" s="198" t="s">
        <v>12</v>
      </c>
      <c r="Q8" s="196" t="s">
        <v>61</v>
      </c>
      <c r="R8" s="63" t="s">
        <v>92</v>
      </c>
      <c r="S8" s="63" t="s">
        <v>99</v>
      </c>
      <c r="T8" s="198" t="s">
        <v>12</v>
      </c>
      <c r="U8" s="196" t="s">
        <v>61</v>
      </c>
      <c r="V8" s="64" t="s">
        <v>90</v>
      </c>
      <c r="W8" s="28" t="s">
        <v>96</v>
      </c>
      <c r="X8" s="197" t="s">
        <v>65</v>
      </c>
      <c r="Y8" s="197" t="s">
        <v>35</v>
      </c>
      <c r="Z8" s="61" t="s">
        <v>8</v>
      </c>
    </row>
    <row r="9" spans="1:26" ht="83.5" customHeight="1">
      <c r="A9" s="10">
        <v>1</v>
      </c>
      <c r="B9" s="10"/>
      <c r="C9" s="11" t="s">
        <v>118</v>
      </c>
      <c r="D9" s="6"/>
      <c r="E9" s="11"/>
      <c r="F9" s="11"/>
      <c r="G9" s="65"/>
      <c r="H9" s="66"/>
      <c r="I9" s="226">
        <f>Insp[[#This Row],[Column11]]+Insp[[#This Row],[Column12]]</f>
        <v>0</v>
      </c>
      <c r="J9" s="59">
        <v>0</v>
      </c>
      <c r="K9" s="59">
        <v>0</v>
      </c>
      <c r="L9" s="228">
        <f>IFERROR(J9/I9,0)</f>
        <v>0</v>
      </c>
      <c r="M9" s="226">
        <f>Insp[[#This Row],[Column16]]+Insp[[#This Row],[Column17]]</f>
        <v>0</v>
      </c>
      <c r="N9" s="59">
        <v>0</v>
      </c>
      <c r="O9" s="59">
        <v>0</v>
      </c>
      <c r="P9" s="243">
        <f>IFERROR(N9/M9,0)</f>
        <v>0</v>
      </c>
      <c r="Q9" s="231">
        <f>Insp[[#This Row],[Column20]]+Insp[[#This Row],[Column21]]</f>
        <v>0</v>
      </c>
      <c r="R9" s="71">
        <v>0</v>
      </c>
      <c r="S9" s="71">
        <v>0</v>
      </c>
      <c r="T9" s="49">
        <f>IFERROR(R9/Q9,0)</f>
        <v>0</v>
      </c>
      <c r="U9" s="234">
        <f>Insp[[#This Row],[Column30]]+Insp[[#This Row],[Column29]]</f>
        <v>0</v>
      </c>
      <c r="V9" s="74">
        <v>0</v>
      </c>
      <c r="W9" s="71">
        <v>0</v>
      </c>
      <c r="X9" s="246">
        <f>IFERROR(Insp[[#This Row],[Column30]]/Insp[[#This Row],[Column24]],0)</f>
        <v>0</v>
      </c>
      <c r="Y9" s="237">
        <f>IFERROR(Insp[[#This Row],[Column24]]/Insp[[#This Row],[Column19]],0)</f>
        <v>0</v>
      </c>
      <c r="Z9" s="77"/>
    </row>
    <row r="10" spans="1:26" ht="83.5" customHeight="1">
      <c r="A10" s="10">
        <v>2</v>
      </c>
      <c r="B10" s="6"/>
      <c r="C10" s="11" t="s">
        <v>118</v>
      </c>
      <c r="D10" s="6"/>
      <c r="E10" s="11"/>
      <c r="F10" s="11"/>
      <c r="G10" s="36"/>
      <c r="H10" s="78"/>
      <c r="I10" s="227">
        <f>Insp[[#This Row],[Column11]]+Insp[[#This Row],[Column12]]</f>
        <v>0</v>
      </c>
      <c r="J10" s="19">
        <v>0</v>
      </c>
      <c r="K10" s="19">
        <v>0</v>
      </c>
      <c r="L10" s="229">
        <f t="shared" ref="L10:L12" si="0">IFERROR(J10/I10,0)</f>
        <v>0</v>
      </c>
      <c r="M10" s="227">
        <f>Insp[[#This Row],[Column16]]+Insp[[#This Row],[Column17]]</f>
        <v>0</v>
      </c>
      <c r="N10" s="19">
        <v>0</v>
      </c>
      <c r="O10" s="19">
        <v>0</v>
      </c>
      <c r="P10" s="244">
        <f t="shared" ref="P10:P12" si="1">IFERROR(N10/M10,0)</f>
        <v>0</v>
      </c>
      <c r="Q10" s="232">
        <f>Insp[[#This Row],[Column20]]+Insp[[#This Row],[Column21]]</f>
        <v>0</v>
      </c>
      <c r="R10" s="32">
        <v>0</v>
      </c>
      <c r="S10" s="32">
        <v>0</v>
      </c>
      <c r="T10" s="53">
        <f t="shared" ref="T10:T12" si="2">IFERROR(R10/Q10,0)</f>
        <v>0</v>
      </c>
      <c r="U10" s="235">
        <f>Insp[[#This Row],[Column30]]+Insp[[#This Row],[Column29]]</f>
        <v>0</v>
      </c>
      <c r="V10" s="34">
        <v>0</v>
      </c>
      <c r="W10" s="32">
        <v>0</v>
      </c>
      <c r="X10" s="247">
        <f>IFERROR(Insp[[#This Row],[Column30]]/Insp[[#This Row],[Column24]],0)</f>
        <v>0</v>
      </c>
      <c r="Y10" s="238">
        <f>IFERROR(W10/V10,0)</f>
        <v>0</v>
      </c>
      <c r="Z10" s="80"/>
    </row>
    <row r="11" spans="1:26" ht="83.5" customHeight="1">
      <c r="A11" s="10">
        <v>3</v>
      </c>
      <c r="B11" s="10"/>
      <c r="C11" s="11" t="s">
        <v>118</v>
      </c>
      <c r="D11" s="6"/>
      <c r="E11" s="11"/>
      <c r="F11" s="11"/>
      <c r="G11" s="7"/>
      <c r="H11" s="15"/>
      <c r="I11" s="227">
        <f>Insp[[#This Row],[Column11]]+Insp[[#This Row],[Column12]]</f>
        <v>0</v>
      </c>
      <c r="J11" s="19">
        <v>0</v>
      </c>
      <c r="K11" s="19">
        <v>0</v>
      </c>
      <c r="L11" s="229">
        <f t="shared" si="0"/>
        <v>0</v>
      </c>
      <c r="M11" s="227">
        <f>Insp[[#This Row],[Column16]]+Insp[[#This Row],[Column17]]</f>
        <v>0</v>
      </c>
      <c r="N11" s="19">
        <v>0</v>
      </c>
      <c r="O11" s="19">
        <v>0</v>
      </c>
      <c r="P11" s="244">
        <f t="shared" si="1"/>
        <v>0</v>
      </c>
      <c r="Q11" s="232">
        <f>Insp[[#This Row],[Column20]]+Insp[[#This Row],[Column21]]</f>
        <v>0</v>
      </c>
      <c r="R11" s="32">
        <v>0</v>
      </c>
      <c r="S11" s="32">
        <v>0</v>
      </c>
      <c r="T11" s="53">
        <f t="shared" si="2"/>
        <v>0</v>
      </c>
      <c r="U11" s="235">
        <f>Insp[[#This Row],[Column30]]+Insp[[#This Row],[Column29]]</f>
        <v>0</v>
      </c>
      <c r="V11" s="34">
        <v>0</v>
      </c>
      <c r="W11" s="32">
        <v>0</v>
      </c>
      <c r="X11" s="247">
        <f>IFERROR(Insp[[#This Row],[Column30]]/Insp[[#This Row],[Column24]],0)</f>
        <v>0</v>
      </c>
      <c r="Y11" s="238">
        <f>IFERROR(W11/V11,0)</f>
        <v>0</v>
      </c>
      <c r="Z11" s="35"/>
    </row>
    <row r="12" spans="1:26" ht="90" customHeight="1" thickBot="1">
      <c r="A12" s="10">
        <v>4</v>
      </c>
      <c r="B12" s="10"/>
      <c r="C12" s="11"/>
      <c r="D12" s="6"/>
      <c r="E12" s="12"/>
      <c r="F12" s="13"/>
      <c r="G12" s="7"/>
      <c r="H12" s="15"/>
      <c r="I12" s="227">
        <f>Insp[[#This Row],[Column11]]+Insp[[#This Row],[Column12]]</f>
        <v>0</v>
      </c>
      <c r="J12" s="19">
        <v>0</v>
      </c>
      <c r="K12" s="19">
        <v>0</v>
      </c>
      <c r="L12" s="229">
        <f t="shared" si="0"/>
        <v>0</v>
      </c>
      <c r="M12" s="227">
        <f>Insp[[#This Row],[Column16]]+Insp[[#This Row],[Column17]]</f>
        <v>0</v>
      </c>
      <c r="N12" s="19">
        <v>0</v>
      </c>
      <c r="O12" s="19">
        <v>0</v>
      </c>
      <c r="P12" s="244">
        <f t="shared" si="1"/>
        <v>0</v>
      </c>
      <c r="Q12" s="232">
        <f>Insp[[#This Row],[Column20]]+Insp[[#This Row],[Column21]]</f>
        <v>0</v>
      </c>
      <c r="R12" s="32">
        <v>0</v>
      </c>
      <c r="S12" s="32">
        <v>0</v>
      </c>
      <c r="T12" s="53">
        <f t="shared" si="2"/>
        <v>0</v>
      </c>
      <c r="U12" s="235">
        <f>Insp[[#This Row],[Column30]]+Insp[[#This Row],[Column29]]</f>
        <v>0</v>
      </c>
      <c r="V12" s="34">
        <v>0</v>
      </c>
      <c r="W12" s="32">
        <v>0</v>
      </c>
      <c r="X12" s="247">
        <f>IFERROR(Insp[[#This Row],[Column30]]/Insp[[#This Row],[Column24]],0)</f>
        <v>0</v>
      </c>
      <c r="Y12" s="238">
        <f>IFERROR(W12/V12,0)</f>
        <v>0</v>
      </c>
      <c r="Z12" s="9"/>
    </row>
    <row r="13" spans="1:26" s="102" customFormat="1" ht="83.5" customHeight="1" thickBot="1">
      <c r="A13" s="20"/>
      <c r="B13" s="81"/>
      <c r="C13" s="82"/>
      <c r="D13" s="83" t="s">
        <v>59</v>
      </c>
      <c r="E13" s="84"/>
      <c r="F13" s="85"/>
      <c r="G13" s="87"/>
      <c r="H13" s="88"/>
      <c r="I13" s="91">
        <f>SUBTOTAL(109,Insp[Column10])</f>
        <v>0</v>
      </c>
      <c r="J13" s="92">
        <f>SUBTOTAL(109,Insp[Column11])</f>
        <v>0</v>
      </c>
      <c r="K13" s="92">
        <f>SUBTOTAL(109,Insp[Column12])</f>
        <v>0</v>
      </c>
      <c r="L13" s="93">
        <f>IFERROR(Insp[[#Totals],[Column11]]/Insp[[#Totals],[Column10]],0)</f>
        <v>0</v>
      </c>
      <c r="M13" s="91">
        <f>SUBTOTAL(109,Insp[Column15])</f>
        <v>0</v>
      </c>
      <c r="N13" s="89">
        <f>SUBTOTAL(109,Insp[Column16])</f>
        <v>0</v>
      </c>
      <c r="O13" s="89">
        <f>SUBTOTAL(109,Insp[Column17])</f>
        <v>0</v>
      </c>
      <c r="P13" s="93">
        <f>IFERROR(Insp[[#Totals],[Column16]]/Insp[[#Totals],[Column15]],0)</f>
        <v>0</v>
      </c>
      <c r="Q13" s="94">
        <f>SUBTOTAL(109,Insp[Column19])</f>
        <v>0</v>
      </c>
      <c r="R13" s="95">
        <f>SUBTOTAL(109,Insp[Column20])</f>
        <v>0</v>
      </c>
      <c r="S13" s="95">
        <f>SUBTOTAL(109,Insp[Column21])</f>
        <v>0</v>
      </c>
      <c r="T13" s="245">
        <f>IFERROR(Insp[[#Totals],[Column20]]/Insp[[#Totals],[Column19]],0)</f>
        <v>0</v>
      </c>
      <c r="U13" s="97">
        <f>SUBTOTAL(109,Insp[Column24])</f>
        <v>0</v>
      </c>
      <c r="V13" s="98">
        <f>SUBTOTAL(109,Insp[Column30])</f>
        <v>0</v>
      </c>
      <c r="W13" s="95">
        <f>SUBTOTAL(109,Insp[Column29])</f>
        <v>0</v>
      </c>
      <c r="X13" s="99">
        <f>IFERROR(Insp[[#Totals],[Column30]]/Insp[[#Totals],[Column24]],0)</f>
        <v>0</v>
      </c>
      <c r="Y13" s="100">
        <f>IFERROR(Insp[[#Totals],[Column24]]/Insp[[#Totals],[Column19]],0)</f>
        <v>0</v>
      </c>
      <c r="Z13" s="101"/>
    </row>
    <row r="14" spans="1:26">
      <c r="A14" s="5" t="s">
        <v>82</v>
      </c>
    </row>
  </sheetData>
  <sheetProtection formatRows="0" insertRows="0" deleteRows="0"/>
  <mergeCells count="11">
    <mergeCell ref="M7:P7"/>
    <mergeCell ref="Q7:T7"/>
    <mergeCell ref="U7:Z7"/>
    <mergeCell ref="A6:Z6"/>
    <mergeCell ref="A7:A8"/>
    <mergeCell ref="B7:B8"/>
    <mergeCell ref="C7:C8"/>
    <mergeCell ref="D7:F7"/>
    <mergeCell ref="G7:G8"/>
    <mergeCell ref="H7:H8"/>
    <mergeCell ref="I7:L7"/>
  </mergeCells>
  <dataValidations count="1">
    <dataValidation allowBlank="1" showInputMessage="1" showErrorMessage="1" prompt="Please fill in the cell with text" sqref="B9:F12" xr:uid="{73CE5A53-C070-46C1-9278-C4727730664F}"/>
  </dataValidations>
  <pageMargins left="0.7" right="0.7" top="0.75" bottom="0.75" header="0.3" footer="0.3"/>
  <pageSetup paperSize="9" orientation="portrait" verticalDpi="4294967295"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FDE1A-C45F-4A3F-84C8-749AC5DD816C}">
  <dimension ref="A1:Z14"/>
  <sheetViews>
    <sheetView view="pageBreakPreview" topLeftCell="C1" zoomScale="60" zoomScaleNormal="56" workbookViewId="0">
      <selection activeCell="I11" sqref="I11"/>
    </sheetView>
  </sheetViews>
  <sheetFormatPr defaultRowHeight="15.5"/>
  <cols>
    <col min="1" max="1" width="13.453125" style="2" customWidth="1"/>
    <col min="2" max="2" width="32.26953125" style="2" customWidth="1"/>
    <col min="3" max="3" width="33.54296875" style="2" customWidth="1"/>
    <col min="4" max="4" width="34.1796875" style="2" customWidth="1"/>
    <col min="5" max="5" width="40.1796875" style="2" customWidth="1"/>
    <col min="6" max="6" width="27.26953125" style="2" customWidth="1"/>
    <col min="7" max="7" width="15.90625" style="2" customWidth="1"/>
    <col min="8" max="8" width="19.1796875" style="2" customWidth="1"/>
    <col min="9" max="11" width="14.81640625" style="2" customWidth="1"/>
    <col min="12" max="12" width="10.453125" style="2" customWidth="1"/>
    <col min="13" max="13" width="13.90625" style="2" customWidth="1"/>
    <col min="14" max="15" width="14.81640625" style="2" customWidth="1"/>
    <col min="16" max="16" width="10.08984375" style="2" customWidth="1"/>
    <col min="17" max="17" width="15.1796875" style="2" customWidth="1"/>
    <col min="18" max="18" width="17.90625" style="2" customWidth="1"/>
    <col min="19" max="19" width="17.6328125" style="2" customWidth="1"/>
    <col min="20" max="20" width="11.08984375" style="2" customWidth="1"/>
    <col min="21" max="21" width="15.54296875" style="2" customWidth="1"/>
    <col min="22" max="23" width="17.54296875" style="2" customWidth="1"/>
    <col min="24" max="24" width="11.90625" style="2" customWidth="1"/>
    <col min="25" max="25" width="10.453125" style="2" customWidth="1"/>
    <col min="26" max="26" width="38.453125" style="2" customWidth="1"/>
    <col min="27" max="16384" width="8.7265625" style="21"/>
  </cols>
  <sheetData>
    <row r="1" spans="1:26">
      <c r="W1" s="21"/>
      <c r="X1" s="21"/>
      <c r="Y1" s="21"/>
      <c r="Z1" s="21"/>
    </row>
    <row r="2" spans="1:26">
      <c r="B2" s="24"/>
      <c r="W2" s="21"/>
      <c r="X2" s="21"/>
      <c r="Y2" s="21"/>
      <c r="Z2" s="21"/>
    </row>
    <row r="3" spans="1:26">
      <c r="B3" s="24"/>
      <c r="W3" s="21"/>
      <c r="X3" s="21"/>
      <c r="Y3" s="21"/>
      <c r="Z3" s="21"/>
    </row>
    <row r="4" spans="1:26" hidden="1">
      <c r="B4" s="26"/>
      <c r="W4" s="21"/>
      <c r="X4" s="21"/>
      <c r="Y4" s="21"/>
      <c r="Z4" s="21"/>
    </row>
    <row r="5" spans="1:26" hidden="1"/>
    <row r="6" spans="1:26" s="2" customFormat="1" ht="83.5" customHeight="1" thickBot="1">
      <c r="A6" s="318" t="s">
        <v>30</v>
      </c>
      <c r="B6" s="312"/>
      <c r="C6" s="312"/>
      <c r="D6" s="312"/>
      <c r="E6" s="312"/>
      <c r="F6" s="312"/>
      <c r="G6" s="312"/>
      <c r="H6" s="312"/>
      <c r="I6" s="312"/>
      <c r="J6" s="312"/>
      <c r="K6" s="312"/>
      <c r="L6" s="312"/>
      <c r="M6" s="312"/>
      <c r="N6" s="312"/>
      <c r="O6" s="312"/>
      <c r="P6" s="312"/>
      <c r="Q6" s="312"/>
      <c r="R6" s="312"/>
      <c r="S6" s="312"/>
      <c r="T6" s="312"/>
      <c r="U6" s="312"/>
      <c r="V6" s="312"/>
      <c r="W6" s="312"/>
      <c r="X6" s="312"/>
      <c r="Y6" s="312"/>
      <c r="Z6" s="312"/>
    </row>
    <row r="7" spans="1:26" s="2" customFormat="1" ht="83.5" customHeight="1">
      <c r="A7" s="285" t="s">
        <v>6</v>
      </c>
      <c r="B7" s="287" t="s">
        <v>85</v>
      </c>
      <c r="C7" s="283" t="s">
        <v>58</v>
      </c>
      <c r="D7" s="280" t="s">
        <v>7</v>
      </c>
      <c r="E7" s="281"/>
      <c r="F7" s="282"/>
      <c r="G7" s="292" t="s">
        <v>60</v>
      </c>
      <c r="H7" s="294" t="s">
        <v>66</v>
      </c>
      <c r="I7" s="280" t="s">
        <v>62</v>
      </c>
      <c r="J7" s="281"/>
      <c r="K7" s="281"/>
      <c r="L7" s="282"/>
      <c r="M7" s="280" t="s">
        <v>69</v>
      </c>
      <c r="N7" s="281"/>
      <c r="O7" s="281"/>
      <c r="P7" s="282"/>
      <c r="Q7" s="289" t="s">
        <v>64</v>
      </c>
      <c r="R7" s="290"/>
      <c r="S7" s="290"/>
      <c r="T7" s="291"/>
      <c r="U7" s="277" t="s">
        <v>86</v>
      </c>
      <c r="V7" s="278"/>
      <c r="W7" s="278"/>
      <c r="X7" s="278"/>
      <c r="Y7" s="278"/>
      <c r="Z7" s="279"/>
    </row>
    <row r="8" spans="1:26" s="2" customFormat="1" ht="83.5" customHeight="1" thickBot="1">
      <c r="A8" s="286"/>
      <c r="B8" s="288"/>
      <c r="C8" s="284"/>
      <c r="D8" s="27" t="s">
        <v>57</v>
      </c>
      <c r="E8" s="28" t="s">
        <v>87</v>
      </c>
      <c r="F8" s="29" t="s">
        <v>88</v>
      </c>
      <c r="G8" s="293"/>
      <c r="H8" s="295"/>
      <c r="I8" s="196" t="s">
        <v>0</v>
      </c>
      <c r="J8" s="63" t="s">
        <v>89</v>
      </c>
      <c r="K8" s="63" t="s">
        <v>94</v>
      </c>
      <c r="L8" s="198" t="s">
        <v>12</v>
      </c>
      <c r="M8" s="196" t="s">
        <v>0</v>
      </c>
      <c r="N8" s="63" t="s">
        <v>89</v>
      </c>
      <c r="O8" s="63" t="s">
        <v>94</v>
      </c>
      <c r="P8" s="198" t="s">
        <v>12</v>
      </c>
      <c r="Q8" s="196" t="s">
        <v>61</v>
      </c>
      <c r="R8" s="63" t="s">
        <v>92</v>
      </c>
      <c r="S8" s="63" t="s">
        <v>99</v>
      </c>
      <c r="T8" s="198" t="s">
        <v>12</v>
      </c>
      <c r="U8" s="196" t="s">
        <v>61</v>
      </c>
      <c r="V8" s="64" t="s">
        <v>90</v>
      </c>
      <c r="W8" s="28" t="s">
        <v>96</v>
      </c>
      <c r="X8" s="197" t="s">
        <v>65</v>
      </c>
      <c r="Y8" s="197" t="s">
        <v>35</v>
      </c>
      <c r="Z8" s="61" t="s">
        <v>8</v>
      </c>
    </row>
    <row r="9" spans="1:26" ht="130.5" customHeight="1">
      <c r="A9" s="10">
        <v>1</v>
      </c>
      <c r="B9" s="14"/>
      <c r="C9" s="11" t="s">
        <v>118</v>
      </c>
      <c r="D9" s="109"/>
      <c r="E9" s="11"/>
      <c r="F9" s="11"/>
      <c r="G9" s="10"/>
      <c r="H9" s="10"/>
      <c r="I9" s="226">
        <f>Proj[[#This Row],[Column11]]+Proj[[#This Row],[Column12]]</f>
        <v>0</v>
      </c>
      <c r="J9" s="59">
        <v>0</v>
      </c>
      <c r="K9" s="59">
        <v>0</v>
      </c>
      <c r="L9" s="228">
        <f>IFERROR(J9/I9,0)</f>
        <v>0</v>
      </c>
      <c r="M9" s="226">
        <f>Proj[[#This Row],[Column16]]+Proj[[#This Row],[Column17]]</f>
        <v>0</v>
      </c>
      <c r="N9" s="59">
        <v>0</v>
      </c>
      <c r="O9" s="59">
        <v>0</v>
      </c>
      <c r="P9" s="228">
        <f>IFERROR(N9/M9,0)</f>
        <v>0</v>
      </c>
      <c r="Q9" s="231">
        <f>Proj[[#This Row],[Column20]]+Proj[[#This Row],[Column21]]</f>
        <v>0</v>
      </c>
      <c r="R9" s="71">
        <v>0</v>
      </c>
      <c r="S9" s="71">
        <v>0</v>
      </c>
      <c r="T9" s="49">
        <f>IFERROR(R9/Q9,0)</f>
        <v>0</v>
      </c>
      <c r="U9" s="234">
        <f>Proj[[#This Row],[Column30]]+Proj[[#This Row],[Column29]]</f>
        <v>0</v>
      </c>
      <c r="V9" s="74">
        <v>0</v>
      </c>
      <c r="W9" s="71">
        <v>0</v>
      </c>
      <c r="X9" s="49">
        <f>IFERROR(Proj[[#This Row],[Column30]]/Proj[[#This Row],[Column24]],0)</f>
        <v>0</v>
      </c>
      <c r="Y9" s="237">
        <f>IFERROR(Proj[[#This Row],[Column24]]/Proj[[#This Row],[Column19]],0)</f>
        <v>0</v>
      </c>
      <c r="Z9" s="77"/>
    </row>
    <row r="10" spans="1:26" ht="83.5" customHeight="1">
      <c r="A10" s="10">
        <v>2</v>
      </c>
      <c r="B10" s="11"/>
      <c r="C10" s="11" t="s">
        <v>118</v>
      </c>
      <c r="D10" s="6"/>
      <c r="E10" s="11"/>
      <c r="F10" s="11"/>
      <c r="G10" s="36"/>
      <c r="H10" s="78"/>
      <c r="I10" s="227">
        <f>Proj[[#This Row],[Column11]]+Proj[[#This Row],[Column12]]</f>
        <v>0</v>
      </c>
      <c r="J10" s="19">
        <v>0</v>
      </c>
      <c r="K10" s="19">
        <v>0</v>
      </c>
      <c r="L10" s="229">
        <f t="shared" ref="L10:L12" si="0">IFERROR(J10/I10,0)</f>
        <v>0</v>
      </c>
      <c r="M10" s="227">
        <f>Proj[[#This Row],[Column16]]+Proj[[#This Row],[Column17]]</f>
        <v>0</v>
      </c>
      <c r="N10" s="19">
        <v>0</v>
      </c>
      <c r="O10" s="19">
        <v>0</v>
      </c>
      <c r="P10" s="229">
        <f t="shared" ref="P10:P12" si="1">IFERROR(N10/M10,0)</f>
        <v>0</v>
      </c>
      <c r="Q10" s="232">
        <f>Proj[[#This Row],[Column20]]+Proj[[#This Row],[Column21]]</f>
        <v>0</v>
      </c>
      <c r="R10" s="32">
        <v>0</v>
      </c>
      <c r="S10" s="32">
        <v>0</v>
      </c>
      <c r="T10" s="53">
        <f t="shared" ref="T10:T12" si="2">IFERROR(R10/Q10,0)</f>
        <v>0</v>
      </c>
      <c r="U10" s="235">
        <f>Proj[[#This Row],[Column30]]+Proj[[#This Row],[Column29]]</f>
        <v>0</v>
      </c>
      <c r="V10" s="34">
        <v>0</v>
      </c>
      <c r="W10" s="32">
        <v>0</v>
      </c>
      <c r="X10" s="53">
        <f>IFERROR(Proj[[#This Row],[Column30]]/Proj[[#This Row],[Column24]],0)</f>
        <v>0</v>
      </c>
      <c r="Y10" s="238">
        <f>IFERROR(Proj[[#This Row],[Column24]]/Proj[[#This Row],[Column19]],0)</f>
        <v>0</v>
      </c>
      <c r="Z10" s="80"/>
    </row>
    <row r="11" spans="1:26" ht="83.5" customHeight="1">
      <c r="A11" s="10">
        <v>3</v>
      </c>
      <c r="B11" s="14"/>
      <c r="C11" s="11" t="s">
        <v>118</v>
      </c>
      <c r="D11" s="6"/>
      <c r="E11" s="11"/>
      <c r="F11" s="11"/>
      <c r="G11" s="7"/>
      <c r="H11" s="15"/>
      <c r="I11" s="227">
        <f>Proj[[#This Row],[Column11]]+Proj[[#This Row],[Column12]]</f>
        <v>0</v>
      </c>
      <c r="J11" s="19">
        <v>0</v>
      </c>
      <c r="K11" s="19">
        <v>0</v>
      </c>
      <c r="L11" s="229">
        <f t="shared" si="0"/>
        <v>0</v>
      </c>
      <c r="M11" s="227">
        <f>Proj[[#This Row],[Column16]]+Proj[[#This Row],[Column17]]</f>
        <v>0</v>
      </c>
      <c r="N11" s="19">
        <v>0</v>
      </c>
      <c r="O11" s="19">
        <v>0</v>
      </c>
      <c r="P11" s="229">
        <f t="shared" si="1"/>
        <v>0</v>
      </c>
      <c r="Q11" s="232">
        <f>Proj[[#This Row],[Column20]]+Proj[[#This Row],[Column21]]</f>
        <v>0</v>
      </c>
      <c r="R11" s="32">
        <v>0</v>
      </c>
      <c r="S11" s="32">
        <v>0</v>
      </c>
      <c r="T11" s="53">
        <f t="shared" si="2"/>
        <v>0</v>
      </c>
      <c r="U11" s="235">
        <f>Proj[[#This Row],[Column30]]+Proj[[#This Row],[Column29]]</f>
        <v>0</v>
      </c>
      <c r="V11" s="34">
        <v>0</v>
      </c>
      <c r="W11" s="32">
        <v>0</v>
      </c>
      <c r="X11" s="53">
        <f>IFERROR(Proj[[#This Row],[Column30]]/Proj[[#This Row],[Column24]],0)</f>
        <v>0</v>
      </c>
      <c r="Y11" s="238">
        <f>IFERROR(Proj[[#This Row],[Column24]]/Proj[[#This Row],[Column19]],0)</f>
        <v>0</v>
      </c>
      <c r="Z11" s="35"/>
    </row>
    <row r="12" spans="1:26" ht="77.5" customHeight="1" thickBot="1">
      <c r="A12" s="10">
        <v>4</v>
      </c>
      <c r="B12" s="10"/>
      <c r="C12" s="11"/>
      <c r="D12" s="6"/>
      <c r="E12" s="12"/>
      <c r="F12" s="13"/>
      <c r="G12" s="7"/>
      <c r="H12" s="15"/>
      <c r="I12" s="227">
        <f>Proj[[#This Row],[Column11]]+Proj[[#This Row],[Column12]]</f>
        <v>0</v>
      </c>
      <c r="J12" s="19">
        <v>0</v>
      </c>
      <c r="K12" s="19">
        <v>0</v>
      </c>
      <c r="L12" s="229">
        <f t="shared" si="0"/>
        <v>0</v>
      </c>
      <c r="M12" s="227">
        <f>Proj[[#This Row],[Column16]]+Proj[[#This Row],[Column17]]</f>
        <v>0</v>
      </c>
      <c r="N12" s="19">
        <v>0</v>
      </c>
      <c r="O12" s="19">
        <v>0</v>
      </c>
      <c r="P12" s="229">
        <f t="shared" si="1"/>
        <v>0</v>
      </c>
      <c r="Q12" s="232">
        <f>Proj[[#This Row],[Column20]]+Proj[[#This Row],[Column21]]</f>
        <v>0</v>
      </c>
      <c r="R12" s="32">
        <v>0</v>
      </c>
      <c r="S12" s="32">
        <v>0</v>
      </c>
      <c r="T12" s="53">
        <f t="shared" si="2"/>
        <v>0</v>
      </c>
      <c r="U12" s="235">
        <f>Proj[[#This Row],[Column30]]+Proj[[#This Row],[Column29]]</f>
        <v>0</v>
      </c>
      <c r="V12" s="34">
        <v>0</v>
      </c>
      <c r="W12" s="32">
        <v>0</v>
      </c>
      <c r="X12" s="53">
        <f>IFERROR(Proj[[#This Row],[Column30]]/Proj[[#This Row],[Column24]],0)</f>
        <v>0</v>
      </c>
      <c r="Y12" s="238">
        <f>IFERROR(Proj[[#This Row],[Column24]]/Proj[[#This Row],[Column19]],0)</f>
        <v>0</v>
      </c>
      <c r="Z12" s="9"/>
    </row>
    <row r="13" spans="1:26" s="102" customFormat="1" ht="83.5" customHeight="1" thickBot="1">
      <c r="A13" s="20"/>
      <c r="B13" s="81"/>
      <c r="C13" s="82"/>
      <c r="D13" s="83" t="s">
        <v>59</v>
      </c>
      <c r="E13" s="84"/>
      <c r="F13" s="85"/>
      <c r="G13" s="87"/>
      <c r="H13" s="88"/>
      <c r="I13" s="91">
        <f>SUBTOTAL(109,Proj[Column10])</f>
        <v>0</v>
      </c>
      <c r="J13" s="92">
        <f>SUBTOTAL(109,Proj[Column11])</f>
        <v>0</v>
      </c>
      <c r="K13" s="92">
        <f>SUBTOTAL(109,Proj[Column12])</f>
        <v>0</v>
      </c>
      <c r="L13" s="103">
        <f>IFERROR(Proj[[#Totals],[Column11]]/Proj[[#Totals],[Column10]],0)</f>
        <v>0</v>
      </c>
      <c r="M13" s="91">
        <f>SUBTOTAL(109,Proj[Column15])</f>
        <v>0</v>
      </c>
      <c r="N13" s="89">
        <f>SUBTOTAL(109,Proj[Column16])</f>
        <v>0</v>
      </c>
      <c r="O13" s="89">
        <f>SUBTOTAL(109,Proj[Column17])</f>
        <v>0</v>
      </c>
      <c r="P13" s="103">
        <f>IFERROR(Proj[[#Totals],[Column16]]/Proj[[#Totals],[Column15]],0)</f>
        <v>0</v>
      </c>
      <c r="Q13" s="94">
        <f>SUBTOTAL(109,Proj[Column19])</f>
        <v>0</v>
      </c>
      <c r="R13" s="95">
        <f>SUBTOTAL(109,Proj[Column20])</f>
        <v>0</v>
      </c>
      <c r="S13" s="95">
        <f>SUBTOTAL(109,Proj[Column21])</f>
        <v>0</v>
      </c>
      <c r="T13" s="105">
        <f>IFERROR(Proj[[#Totals],[Column20]]/Proj[[#Totals],[Column19]],0)</f>
        <v>0</v>
      </c>
      <c r="U13" s="97">
        <f>SUBTOTAL(109,Proj[Column24])</f>
        <v>0</v>
      </c>
      <c r="V13" s="98">
        <f>SUBTOTAL(109,Proj[Column30])</f>
        <v>0</v>
      </c>
      <c r="W13" s="95">
        <f>SUBTOTAL(109,Proj[Column29])</f>
        <v>0</v>
      </c>
      <c r="X13" s="108">
        <f>IFERROR(Proj[[#Totals],[Column30]]/Proj[[#Totals],[Column24]],0)</f>
        <v>0</v>
      </c>
      <c r="Y13" s="100">
        <f>IFERROR(Proj[[#Totals],[Column24]]/Proj[[#Totals],[Column19]],0)</f>
        <v>0</v>
      </c>
      <c r="Z13" s="101"/>
    </row>
    <row r="14" spans="1:26">
      <c r="A14" s="5" t="s">
        <v>82</v>
      </c>
    </row>
  </sheetData>
  <sheetProtection formatRows="0" insertRows="0" deleteRows="0"/>
  <mergeCells count="11">
    <mergeCell ref="M7:P7"/>
    <mergeCell ref="Q7:T7"/>
    <mergeCell ref="U7:Z7"/>
    <mergeCell ref="A6:Z6"/>
    <mergeCell ref="A7:A8"/>
    <mergeCell ref="B7:B8"/>
    <mergeCell ref="C7:C8"/>
    <mergeCell ref="D7:F7"/>
    <mergeCell ref="G7:G8"/>
    <mergeCell ref="H7:H8"/>
    <mergeCell ref="I7:L7"/>
  </mergeCells>
  <dataValidations count="1">
    <dataValidation allowBlank="1" showInputMessage="1" showErrorMessage="1" prompt="Please fill in the cell with text" sqref="G9:H9 B9:F12" xr:uid="{5B640311-AB93-4ED2-A1C3-0E8F003138F3}"/>
  </dataValidations>
  <pageMargins left="0.7" right="0.7" top="0.75" bottom="0.75" header="0.3" footer="0.3"/>
  <pageSetup paperSize="9" orientation="portrait" verticalDpi="4294967295"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EE477-8A27-409D-AA46-4729745F4813}">
  <dimension ref="A1:T137"/>
  <sheetViews>
    <sheetView view="pageBreakPreview" zoomScale="55" zoomScaleNormal="79" zoomScaleSheetLayoutView="55" workbookViewId="0">
      <selection activeCell="D11" sqref="D11"/>
    </sheetView>
  </sheetViews>
  <sheetFormatPr defaultColWidth="9.1796875" defaultRowHeight="15.5"/>
  <cols>
    <col min="1" max="1" width="10.90625" style="1" customWidth="1"/>
    <col min="2" max="2" width="36" style="1" customWidth="1"/>
    <col min="3" max="3" width="30.6328125" style="1" bestFit="1" customWidth="1"/>
    <col min="4" max="4" width="34.7265625" style="1" customWidth="1"/>
    <col min="5" max="5" width="28.36328125" style="1" customWidth="1"/>
    <col min="6" max="6" width="20.7265625" style="1" customWidth="1"/>
    <col min="7" max="7" width="11.7265625" style="1" bestFit="1" customWidth="1"/>
    <col min="8" max="8" width="14.7265625" style="1" customWidth="1"/>
    <col min="9" max="9" width="11.81640625" style="1" customWidth="1"/>
    <col min="10" max="10" width="12" style="1" customWidth="1"/>
    <col min="11" max="11" width="12.26953125" style="1" customWidth="1"/>
    <col min="12" max="12" width="8.54296875" style="1" customWidth="1"/>
    <col min="13" max="13" width="12" style="1" customWidth="1"/>
    <col min="14" max="14" width="11.7265625" style="1" customWidth="1"/>
    <col min="15" max="15" width="12.08984375" style="1" customWidth="1"/>
    <col min="16" max="16" width="11.26953125" style="1" customWidth="1"/>
    <col min="17" max="17" width="11.81640625" style="1" customWidth="1"/>
    <col min="18" max="18" width="15.08984375" style="1" customWidth="1"/>
    <col min="19" max="19" width="15.26953125" style="1" customWidth="1"/>
    <col min="20" max="20" width="10.6328125" style="1" customWidth="1"/>
    <col min="21" max="16384" width="9.1796875" style="1"/>
  </cols>
  <sheetData>
    <row r="1" spans="1:20" ht="16" thickBot="1">
      <c r="B1" s="124" t="s">
        <v>121</v>
      </c>
      <c r="C1" s="125"/>
      <c r="D1" s="125"/>
      <c r="E1" s="125"/>
      <c r="F1" s="125"/>
    </row>
    <row r="2" spans="1:20" ht="16" thickBot="1">
      <c r="B2" s="126" t="s">
        <v>73</v>
      </c>
      <c r="C2" s="127">
        <f>'Instruction '!C2</f>
        <v>0</v>
      </c>
      <c r="D2" s="128" t="s">
        <v>71</v>
      </c>
      <c r="E2" s="129">
        <f>'Instruction '!E2</f>
        <v>0</v>
      </c>
      <c r="F2" s="125"/>
    </row>
    <row r="3" spans="1:20" ht="16" thickBot="1">
      <c r="B3" s="130" t="s">
        <v>70</v>
      </c>
      <c r="C3" s="127">
        <f>'Instruction '!C3</f>
        <v>0</v>
      </c>
      <c r="D3" s="130" t="s">
        <v>72</v>
      </c>
      <c r="E3" s="129">
        <f>'Instruction '!E3</f>
        <v>0</v>
      </c>
      <c r="F3" s="125"/>
    </row>
    <row r="4" spans="1:20" ht="16" thickBot="1">
      <c r="B4" s="131" t="s">
        <v>74</v>
      </c>
      <c r="C4" s="132">
        <f>'Instruction '!C4</f>
        <v>0</v>
      </c>
      <c r="D4" s="133" t="s">
        <v>75</v>
      </c>
      <c r="E4" s="134">
        <f>'Instruction '!E4</f>
        <v>0</v>
      </c>
      <c r="F4" s="125"/>
    </row>
    <row r="5" spans="1:20" ht="22" customHeight="1" thickBot="1">
      <c r="B5" s="135"/>
      <c r="C5" s="136"/>
      <c r="D5" s="133" t="s">
        <v>111</v>
      </c>
      <c r="E5" s="220">
        <f>'Instruction '!E5</f>
        <v>0</v>
      </c>
      <c r="F5" s="125"/>
    </row>
    <row r="6" spans="1:20" ht="16" thickBot="1">
      <c r="B6" s="135"/>
      <c r="C6" s="137"/>
      <c r="D6" s="138" t="s">
        <v>12</v>
      </c>
      <c r="E6" s="139">
        <f>'Instruction '!E6</f>
        <v>0</v>
      </c>
      <c r="F6" s="125"/>
    </row>
    <row r="7" spans="1:20" ht="16" thickBot="1">
      <c r="B7" s="135"/>
      <c r="C7" s="137"/>
      <c r="D7" s="135"/>
      <c r="E7" s="140"/>
      <c r="F7" s="125"/>
    </row>
    <row r="8" spans="1:20" ht="56.5" customHeight="1" thickBot="1">
      <c r="A8" s="253" t="s">
        <v>119</v>
      </c>
      <c r="B8" s="254"/>
      <c r="C8" s="254"/>
      <c r="D8" s="254"/>
      <c r="E8" s="254"/>
      <c r="F8" s="254"/>
      <c r="G8" s="254"/>
      <c r="H8" s="254"/>
      <c r="I8" s="254"/>
      <c r="J8" s="254"/>
      <c r="K8" s="254"/>
      <c r="L8" s="254"/>
      <c r="M8" s="254"/>
      <c r="N8" s="254"/>
      <c r="O8" s="254"/>
      <c r="P8" s="254"/>
      <c r="Q8" s="254"/>
      <c r="R8" s="254"/>
      <c r="S8" s="254"/>
      <c r="T8" s="255"/>
    </row>
    <row r="9" spans="1:20" ht="50" customHeight="1">
      <c r="A9" s="256" t="s">
        <v>6</v>
      </c>
      <c r="B9" s="258" t="s">
        <v>56</v>
      </c>
      <c r="C9" s="260" t="s">
        <v>58</v>
      </c>
      <c r="D9" s="262" t="s">
        <v>7</v>
      </c>
      <c r="E9" s="263"/>
      <c r="F9" s="264"/>
      <c r="G9" s="262" t="s">
        <v>104</v>
      </c>
      <c r="H9" s="264"/>
      <c r="I9" s="262" t="s">
        <v>105</v>
      </c>
      <c r="J9" s="263"/>
      <c r="K9" s="263"/>
      <c r="L9" s="264"/>
      <c r="M9" s="262" t="s">
        <v>106</v>
      </c>
      <c r="N9" s="263"/>
      <c r="O9" s="263"/>
      <c r="P9" s="264"/>
      <c r="Q9" s="262" t="s">
        <v>107</v>
      </c>
      <c r="R9" s="263"/>
      <c r="S9" s="263"/>
      <c r="T9" s="265"/>
    </row>
    <row r="10" spans="1:20" ht="36" thickBot="1">
      <c r="A10" s="257"/>
      <c r="B10" s="259"/>
      <c r="C10" s="261"/>
      <c r="D10" s="141" t="s">
        <v>57</v>
      </c>
      <c r="E10" s="141" t="s">
        <v>97</v>
      </c>
      <c r="F10" s="141" t="s">
        <v>98</v>
      </c>
      <c r="G10" s="142" t="s">
        <v>102</v>
      </c>
      <c r="H10" s="143" t="s">
        <v>103</v>
      </c>
      <c r="I10" s="141" t="s">
        <v>0</v>
      </c>
      <c r="J10" s="141" t="s">
        <v>93</v>
      </c>
      <c r="K10" s="141" t="s">
        <v>94</v>
      </c>
      <c r="L10" s="141" t="s">
        <v>12</v>
      </c>
      <c r="M10" s="141" t="s">
        <v>0</v>
      </c>
      <c r="N10" s="141" t="s">
        <v>93</v>
      </c>
      <c r="O10" s="141" t="s">
        <v>94</v>
      </c>
      <c r="P10" s="141" t="s">
        <v>12</v>
      </c>
      <c r="Q10" s="141" t="s">
        <v>61</v>
      </c>
      <c r="R10" s="141" t="s">
        <v>92</v>
      </c>
      <c r="S10" s="141" t="s">
        <v>99</v>
      </c>
      <c r="T10" s="144" t="s">
        <v>12</v>
      </c>
    </row>
    <row r="11" spans="1:20" ht="62">
      <c r="A11" s="266">
        <v>1</v>
      </c>
      <c r="B11" s="268" t="s">
        <v>1</v>
      </c>
      <c r="C11" s="145" t="s">
        <v>112</v>
      </c>
      <c r="D11" s="146"/>
      <c r="E11" s="146"/>
      <c r="F11" s="146"/>
      <c r="G11" s="146"/>
      <c r="H11" s="146"/>
      <c r="I11" s="147">
        <f>J11+K11</f>
        <v>0</v>
      </c>
      <c r="J11" s="146"/>
      <c r="K11" s="146"/>
      <c r="L11" s="148">
        <f>IFERROR(J11/I11,0)</f>
        <v>0</v>
      </c>
      <c r="M11" s="147">
        <f>N11+O11</f>
        <v>0</v>
      </c>
      <c r="N11" s="146"/>
      <c r="O11" s="146"/>
      <c r="P11" s="148">
        <f>IFERROR(N11/M11,0)</f>
        <v>0</v>
      </c>
      <c r="Q11" s="147">
        <f t="shared" ref="Q11:Q15" si="0">R11+S11</f>
        <v>0</v>
      </c>
      <c r="R11" s="149">
        <v>0</v>
      </c>
      <c r="S11" s="149">
        <v>0</v>
      </c>
      <c r="T11" s="148">
        <f t="shared" ref="T11:T16" si="1">IFERROR(R11/Q11,0)</f>
        <v>0</v>
      </c>
    </row>
    <row r="12" spans="1:20">
      <c r="A12" s="266"/>
      <c r="B12" s="268"/>
      <c r="C12" s="150"/>
      <c r="D12" s="151"/>
      <c r="E12" s="151"/>
      <c r="F12" s="151"/>
      <c r="G12" s="151"/>
      <c r="H12" s="151"/>
      <c r="I12" s="152">
        <f t="shared" ref="I12:I15" si="2">J12+K12</f>
        <v>0</v>
      </c>
      <c r="J12" s="151"/>
      <c r="K12" s="151"/>
      <c r="L12" s="153">
        <f t="shared" ref="L12:L15" si="3">IFERROR(J12/I12,0)</f>
        <v>0</v>
      </c>
      <c r="M12" s="152">
        <f t="shared" ref="M12:M15" si="4">N12+O12</f>
        <v>0</v>
      </c>
      <c r="N12" s="151"/>
      <c r="O12" s="151"/>
      <c r="P12" s="153">
        <f t="shared" ref="P12:P15" si="5">IFERROR(N12/M12,0)</f>
        <v>0</v>
      </c>
      <c r="Q12" s="152">
        <f t="shared" si="0"/>
        <v>0</v>
      </c>
      <c r="R12" s="154">
        <v>0</v>
      </c>
      <c r="S12" s="154">
        <v>0</v>
      </c>
      <c r="T12" s="153">
        <f t="shared" si="1"/>
        <v>0</v>
      </c>
    </row>
    <row r="13" spans="1:20">
      <c r="A13" s="266"/>
      <c r="B13" s="268"/>
      <c r="C13" s="150"/>
      <c r="D13" s="151"/>
      <c r="E13" s="151"/>
      <c r="F13" s="151"/>
      <c r="G13" s="151"/>
      <c r="H13" s="151"/>
      <c r="I13" s="152">
        <f t="shared" si="2"/>
        <v>0</v>
      </c>
      <c r="J13" s="151"/>
      <c r="K13" s="151"/>
      <c r="L13" s="153">
        <f t="shared" si="3"/>
        <v>0</v>
      </c>
      <c r="M13" s="152">
        <f t="shared" si="4"/>
        <v>0</v>
      </c>
      <c r="N13" s="151"/>
      <c r="O13" s="151"/>
      <c r="P13" s="153">
        <f t="shared" si="5"/>
        <v>0</v>
      </c>
      <c r="Q13" s="152">
        <f t="shared" si="0"/>
        <v>0</v>
      </c>
      <c r="R13" s="154">
        <v>0</v>
      </c>
      <c r="S13" s="154">
        <v>0</v>
      </c>
      <c r="T13" s="153">
        <f t="shared" si="1"/>
        <v>0</v>
      </c>
    </row>
    <row r="14" spans="1:20">
      <c r="A14" s="266"/>
      <c r="B14" s="268"/>
      <c r="C14" s="150"/>
      <c r="D14" s="151"/>
      <c r="E14" s="151"/>
      <c r="F14" s="151"/>
      <c r="G14" s="151"/>
      <c r="H14" s="151"/>
      <c r="I14" s="152">
        <f t="shared" si="2"/>
        <v>0</v>
      </c>
      <c r="J14" s="151"/>
      <c r="K14" s="151"/>
      <c r="L14" s="153">
        <f t="shared" si="3"/>
        <v>0</v>
      </c>
      <c r="M14" s="152">
        <f t="shared" si="4"/>
        <v>0</v>
      </c>
      <c r="N14" s="151"/>
      <c r="O14" s="151"/>
      <c r="P14" s="153">
        <f t="shared" si="5"/>
        <v>0</v>
      </c>
      <c r="Q14" s="152">
        <f t="shared" si="0"/>
        <v>0</v>
      </c>
      <c r="R14" s="154">
        <v>0</v>
      </c>
      <c r="S14" s="154">
        <v>0</v>
      </c>
      <c r="T14" s="153">
        <f t="shared" si="1"/>
        <v>0</v>
      </c>
    </row>
    <row r="15" spans="1:20" ht="16" thickBot="1">
      <c r="A15" s="267"/>
      <c r="B15" s="269"/>
      <c r="C15" s="150"/>
      <c r="D15" s="151"/>
      <c r="E15" s="151"/>
      <c r="F15" s="151"/>
      <c r="G15" s="151"/>
      <c r="H15" s="151"/>
      <c r="I15" s="152">
        <f t="shared" si="2"/>
        <v>0</v>
      </c>
      <c r="J15" s="151"/>
      <c r="K15" s="151"/>
      <c r="L15" s="153">
        <f t="shared" si="3"/>
        <v>0</v>
      </c>
      <c r="M15" s="152">
        <f t="shared" si="4"/>
        <v>0</v>
      </c>
      <c r="N15" s="151"/>
      <c r="O15" s="151"/>
      <c r="P15" s="153">
        <f t="shared" si="5"/>
        <v>0</v>
      </c>
      <c r="Q15" s="152">
        <f t="shared" si="0"/>
        <v>0</v>
      </c>
      <c r="R15" s="154">
        <v>0</v>
      </c>
      <c r="S15" s="154">
        <v>0</v>
      </c>
      <c r="T15" s="153">
        <f t="shared" si="1"/>
        <v>0</v>
      </c>
    </row>
    <row r="16" spans="1:20" ht="19" thickTop="1" thickBot="1">
      <c r="A16" s="155"/>
      <c r="B16" s="156" t="s">
        <v>59</v>
      </c>
      <c r="C16" s="157"/>
      <c r="D16" s="158"/>
      <c r="E16" s="158"/>
      <c r="F16" s="158"/>
      <c r="G16" s="158"/>
      <c r="H16" s="158"/>
      <c r="I16" s="159">
        <f>SUBTOTAL(109,Engineering2[Column7])</f>
        <v>0</v>
      </c>
      <c r="J16" s="158">
        <f>SUBTOTAL(109,Engineering2[Column8])</f>
        <v>0</v>
      </c>
      <c r="K16" s="158">
        <f>SUBTOTAL(109,Engineering2[Column9])</f>
        <v>0</v>
      </c>
      <c r="L16" s="160">
        <f>IFERROR(J16/I16,0)</f>
        <v>0</v>
      </c>
      <c r="M16" s="159">
        <f>SUBTOTAL(109,Engineering2[Column11])</f>
        <v>0</v>
      </c>
      <c r="N16" s="158">
        <f>SUBTOTAL(109,Engineering2[Column12])</f>
        <v>0</v>
      </c>
      <c r="O16" s="158">
        <f>SUBTOTAL(109,Engineering2[Column13])</f>
        <v>0</v>
      </c>
      <c r="P16" s="160">
        <f>IFERROR(N16/M16,0)</f>
        <v>0</v>
      </c>
      <c r="Q16" s="161">
        <f>SUBTOTAL(109,Engineering2[Column15])</f>
        <v>0</v>
      </c>
      <c r="R16" s="162">
        <f>SUBTOTAL(109,Engineering2[Column16])</f>
        <v>0</v>
      </c>
      <c r="S16" s="163"/>
      <c r="T16" s="41">
        <f t="shared" si="1"/>
        <v>0</v>
      </c>
    </row>
    <row r="18" spans="1:20" ht="206" customHeight="1">
      <c r="A18" s="270">
        <v>2</v>
      </c>
      <c r="B18" s="273" t="s">
        <v>2</v>
      </c>
      <c r="C18" s="150" t="s">
        <v>113</v>
      </c>
      <c r="D18" s="151"/>
      <c r="E18" s="151"/>
      <c r="F18" s="151"/>
      <c r="G18" s="151"/>
      <c r="H18" s="151"/>
      <c r="I18" s="152">
        <f>J18+K18</f>
        <v>0</v>
      </c>
      <c r="J18" s="151">
        <v>0</v>
      </c>
      <c r="K18" s="151">
        <v>0</v>
      </c>
      <c r="L18" s="153">
        <f>IFERROR(J18/I18,0)</f>
        <v>0</v>
      </c>
      <c r="M18" s="152">
        <f>N18+O18</f>
        <v>0</v>
      </c>
      <c r="N18" s="151">
        <v>0</v>
      </c>
      <c r="O18" s="151">
        <v>0</v>
      </c>
      <c r="P18" s="153">
        <f>IFERROR(N18/M18,0)</f>
        <v>0</v>
      </c>
      <c r="Q18" s="152">
        <f>R18+S18</f>
        <v>0</v>
      </c>
      <c r="R18" s="154">
        <v>0</v>
      </c>
      <c r="S18" s="154">
        <v>0</v>
      </c>
      <c r="T18" s="153">
        <f t="shared" ref="T18:T23" si="6">IFERROR(R18/Q18,0)</f>
        <v>0</v>
      </c>
    </row>
    <row r="19" spans="1:20">
      <c r="A19" s="271"/>
      <c r="B19" s="268"/>
      <c r="C19" s="150"/>
      <c r="D19" s="151"/>
      <c r="E19" s="151"/>
      <c r="F19" s="151"/>
      <c r="G19" s="151"/>
      <c r="H19" s="151"/>
      <c r="I19" s="152">
        <f t="shared" ref="I19:I22" si="7">J19+K19</f>
        <v>0</v>
      </c>
      <c r="J19" s="151">
        <v>0</v>
      </c>
      <c r="K19" s="151">
        <v>0</v>
      </c>
      <c r="L19" s="153">
        <f t="shared" ref="L19:L22" si="8">IFERROR(J19/I19,0)</f>
        <v>0</v>
      </c>
      <c r="M19" s="152">
        <f t="shared" ref="M19:M22" si="9">N19+O19</f>
        <v>0</v>
      </c>
      <c r="N19" s="151">
        <v>0</v>
      </c>
      <c r="O19" s="151">
        <v>0</v>
      </c>
      <c r="P19" s="153">
        <f t="shared" ref="P19:P22" si="10">IFERROR(N19/M19,0)</f>
        <v>0</v>
      </c>
      <c r="Q19" s="152">
        <f t="shared" ref="Q19:Q22" si="11">R19+S19</f>
        <v>0</v>
      </c>
      <c r="R19" s="154">
        <v>0</v>
      </c>
      <c r="S19" s="154">
        <v>0</v>
      </c>
      <c r="T19" s="153">
        <f t="shared" si="6"/>
        <v>0</v>
      </c>
    </row>
    <row r="20" spans="1:20" ht="15.5" customHeight="1">
      <c r="A20" s="271"/>
      <c r="B20" s="268"/>
      <c r="C20" s="150"/>
      <c r="D20" s="151"/>
      <c r="E20" s="151"/>
      <c r="F20" s="151"/>
      <c r="G20" s="151"/>
      <c r="H20" s="151"/>
      <c r="I20" s="152">
        <f t="shared" si="7"/>
        <v>0</v>
      </c>
      <c r="J20" s="151">
        <v>0</v>
      </c>
      <c r="K20" s="151">
        <v>0</v>
      </c>
      <c r="L20" s="153">
        <f t="shared" si="8"/>
        <v>0</v>
      </c>
      <c r="M20" s="152">
        <f t="shared" si="9"/>
        <v>0</v>
      </c>
      <c r="N20" s="151">
        <v>0</v>
      </c>
      <c r="O20" s="151">
        <v>0</v>
      </c>
      <c r="P20" s="153">
        <f t="shared" si="10"/>
        <v>0</v>
      </c>
      <c r="Q20" s="152">
        <f t="shared" si="11"/>
        <v>0</v>
      </c>
      <c r="R20" s="154">
        <v>0</v>
      </c>
      <c r="S20" s="154">
        <v>0</v>
      </c>
      <c r="T20" s="153">
        <f t="shared" si="6"/>
        <v>0</v>
      </c>
    </row>
    <row r="21" spans="1:20" ht="15.5" customHeight="1">
      <c r="A21" s="271"/>
      <c r="B21" s="268"/>
      <c r="C21" s="150"/>
      <c r="D21" s="151"/>
      <c r="E21" s="151"/>
      <c r="F21" s="151"/>
      <c r="G21" s="151"/>
      <c r="H21" s="151"/>
      <c r="I21" s="152">
        <f t="shared" si="7"/>
        <v>0</v>
      </c>
      <c r="J21" s="151">
        <v>0</v>
      </c>
      <c r="K21" s="151">
        <v>0</v>
      </c>
      <c r="L21" s="153">
        <f t="shared" si="8"/>
        <v>0</v>
      </c>
      <c r="M21" s="152">
        <f t="shared" si="9"/>
        <v>0</v>
      </c>
      <c r="N21" s="151">
        <v>0</v>
      </c>
      <c r="O21" s="151">
        <v>0</v>
      </c>
      <c r="P21" s="153">
        <f t="shared" si="10"/>
        <v>0</v>
      </c>
      <c r="Q21" s="152">
        <f t="shared" si="11"/>
        <v>0</v>
      </c>
      <c r="R21" s="154">
        <v>0</v>
      </c>
      <c r="S21" s="154">
        <v>0</v>
      </c>
      <c r="T21" s="153">
        <f t="shared" si="6"/>
        <v>0</v>
      </c>
    </row>
    <row r="22" spans="1:20" ht="16" customHeight="1" thickBot="1">
      <c r="A22" s="272"/>
      <c r="B22" s="269"/>
      <c r="C22" s="150"/>
      <c r="D22" s="151"/>
      <c r="E22" s="151"/>
      <c r="F22" s="151"/>
      <c r="G22" s="151"/>
      <c r="H22" s="151"/>
      <c r="I22" s="152">
        <f t="shared" si="7"/>
        <v>0</v>
      </c>
      <c r="J22" s="151">
        <v>0</v>
      </c>
      <c r="K22" s="151">
        <v>0</v>
      </c>
      <c r="L22" s="153">
        <f t="shared" si="8"/>
        <v>0</v>
      </c>
      <c r="M22" s="152">
        <f t="shared" si="9"/>
        <v>0</v>
      </c>
      <c r="N22" s="151">
        <v>0</v>
      </c>
      <c r="O22" s="151">
        <v>0</v>
      </c>
      <c r="P22" s="153">
        <f t="shared" si="10"/>
        <v>0</v>
      </c>
      <c r="Q22" s="152">
        <f t="shared" si="11"/>
        <v>0</v>
      </c>
      <c r="R22" s="154">
        <v>0</v>
      </c>
      <c r="S22" s="154">
        <v>0</v>
      </c>
      <c r="T22" s="153">
        <f t="shared" si="6"/>
        <v>0</v>
      </c>
    </row>
    <row r="23" spans="1:20" ht="19" thickTop="1" thickBot="1">
      <c r="A23" s="165"/>
      <c r="B23" s="156" t="s">
        <v>59</v>
      </c>
      <c r="C23" s="157"/>
      <c r="D23" s="158"/>
      <c r="E23" s="158"/>
      <c r="F23" s="158"/>
      <c r="G23" s="158"/>
      <c r="H23" s="158"/>
      <c r="I23" s="159">
        <f>SUBTOTAL(109,Engineering683[Column7])</f>
        <v>0</v>
      </c>
      <c r="J23" s="158">
        <f>SUBTOTAL(109,Engineering683[Column8])</f>
        <v>0</v>
      </c>
      <c r="K23" s="158">
        <f>SUBTOTAL(109,Engineering683[Column9])</f>
        <v>0</v>
      </c>
      <c r="L23" s="160">
        <f>IFERROR(J23/I23,0)</f>
        <v>0</v>
      </c>
      <c r="M23" s="159">
        <f>SUBTOTAL(109,Engineering683[Column11])</f>
        <v>0</v>
      </c>
      <c r="N23" s="158">
        <f>SUBTOTAL(109,Engineering683[Column12])</f>
        <v>0</v>
      </c>
      <c r="O23" s="158">
        <f>SUBTOTAL(109,Engineering683[Column13])</f>
        <v>0</v>
      </c>
      <c r="P23" s="160">
        <f>IFERROR(N23/M23,0)</f>
        <v>0</v>
      </c>
      <c r="Q23" s="161">
        <f>SUBTOTAL(109,Engineering683[Column15])</f>
        <v>0</v>
      </c>
      <c r="R23" s="162">
        <f>SUBTOTAL(109,Engineering683[Column16])</f>
        <v>0</v>
      </c>
      <c r="S23" s="163">
        <f>SUBTOTAL(109,Engineering683[Column17])</f>
        <v>0</v>
      </c>
      <c r="T23" s="41">
        <f t="shared" si="6"/>
        <v>0</v>
      </c>
    </row>
    <row r="24" spans="1:20" ht="16" thickBot="1"/>
    <row r="25" spans="1:20" ht="62">
      <c r="A25" s="270">
        <v>3</v>
      </c>
      <c r="B25" s="274" t="s">
        <v>16</v>
      </c>
      <c r="C25" s="166" t="s">
        <v>113</v>
      </c>
      <c r="D25" s="167"/>
      <c r="E25" s="167"/>
      <c r="F25" s="168"/>
      <c r="G25" s="167"/>
      <c r="H25" s="168"/>
      <c r="I25" s="169">
        <f>J25+K25</f>
        <v>0</v>
      </c>
      <c r="J25" s="167">
        <v>0</v>
      </c>
      <c r="K25" s="167">
        <v>0</v>
      </c>
      <c r="L25" s="170">
        <f>IFERROR(J25/I25,0)</f>
        <v>0</v>
      </c>
      <c r="M25" s="169">
        <f>N25+O25</f>
        <v>0</v>
      </c>
      <c r="N25" s="167">
        <v>0</v>
      </c>
      <c r="O25" s="167">
        <v>0</v>
      </c>
      <c r="P25" s="170">
        <f>IFERROR(N25/M25,0)</f>
        <v>0</v>
      </c>
      <c r="Q25" s="171">
        <f>Engineering68805[[#This Row],[Column16]]+Engineering68805[[#This Row],[Column17]]</f>
        <v>0</v>
      </c>
      <c r="R25" s="172">
        <v>0</v>
      </c>
      <c r="S25" s="173">
        <v>0</v>
      </c>
      <c r="T25" s="174">
        <f t="shared" ref="T25:T29" si="12">IFERROR(R25/Q25,0)</f>
        <v>0</v>
      </c>
    </row>
    <row r="26" spans="1:20">
      <c r="A26" s="271"/>
      <c r="B26" s="275"/>
      <c r="C26" s="175"/>
      <c r="D26" s="176"/>
      <c r="E26" s="151"/>
      <c r="F26" s="151"/>
      <c r="G26" s="176"/>
      <c r="H26" s="151"/>
      <c r="I26" s="152">
        <f t="shared" ref="I26:I28" si="13">J26+K26</f>
        <v>0</v>
      </c>
      <c r="J26" s="151">
        <v>0</v>
      </c>
      <c r="K26" s="151">
        <v>0</v>
      </c>
      <c r="L26" s="153">
        <f t="shared" ref="L26:L28" si="14">IFERROR(J26/I26,0)</f>
        <v>0</v>
      </c>
      <c r="M26" s="152">
        <f t="shared" ref="M26:M28" si="15">N26+O26</f>
        <v>0</v>
      </c>
      <c r="N26" s="151">
        <v>0</v>
      </c>
      <c r="O26" s="151">
        <v>0</v>
      </c>
      <c r="P26" s="153">
        <f t="shared" ref="P26:P28" si="16">IFERROR(N26/M26,0)</f>
        <v>0</v>
      </c>
      <c r="Q26" s="171">
        <f>Engineering68805[[#This Row],[Column16]]+Engineering68805[[#This Row],[Column17]]</f>
        <v>0</v>
      </c>
      <c r="R26" s="154">
        <v>0</v>
      </c>
      <c r="S26" s="154">
        <v>0</v>
      </c>
      <c r="T26" s="153">
        <f t="shared" si="12"/>
        <v>0</v>
      </c>
    </row>
    <row r="27" spans="1:20">
      <c r="A27" s="271"/>
      <c r="B27" s="275"/>
      <c r="C27" s="175"/>
      <c r="D27" s="176"/>
      <c r="E27" s="151"/>
      <c r="F27" s="151"/>
      <c r="G27" s="176"/>
      <c r="H27" s="151"/>
      <c r="I27" s="152">
        <f>J27+K27</f>
        <v>0</v>
      </c>
      <c r="J27" s="151">
        <v>0</v>
      </c>
      <c r="K27" s="151">
        <v>0</v>
      </c>
      <c r="L27" s="153">
        <f t="shared" si="14"/>
        <v>0</v>
      </c>
      <c r="M27" s="152">
        <f t="shared" si="15"/>
        <v>0</v>
      </c>
      <c r="N27" s="151">
        <v>0</v>
      </c>
      <c r="O27" s="151">
        <v>0</v>
      </c>
      <c r="P27" s="153">
        <f t="shared" si="16"/>
        <v>0</v>
      </c>
      <c r="Q27" s="171">
        <f>Engineering68805[[#This Row],[Column16]]+Engineering68805[[#This Row],[Column17]]</f>
        <v>0</v>
      </c>
      <c r="R27" s="154">
        <v>0</v>
      </c>
      <c r="S27" s="154">
        <v>0</v>
      </c>
      <c r="T27" s="153">
        <f t="shared" si="12"/>
        <v>0</v>
      </c>
    </row>
    <row r="28" spans="1:20" ht="16" thickBot="1">
      <c r="A28" s="271"/>
      <c r="B28" s="275"/>
      <c r="C28" s="175"/>
      <c r="D28" s="176"/>
      <c r="E28" s="151"/>
      <c r="F28" s="151"/>
      <c r="G28" s="176"/>
      <c r="H28" s="151"/>
      <c r="I28" s="152">
        <f t="shared" si="13"/>
        <v>0</v>
      </c>
      <c r="J28" s="151">
        <v>0</v>
      </c>
      <c r="K28" s="151">
        <v>0</v>
      </c>
      <c r="L28" s="153">
        <f t="shared" si="14"/>
        <v>0</v>
      </c>
      <c r="M28" s="152">
        <f t="shared" si="15"/>
        <v>0</v>
      </c>
      <c r="N28" s="151">
        <v>0</v>
      </c>
      <c r="O28" s="151">
        <v>0</v>
      </c>
      <c r="P28" s="153">
        <f t="shared" si="16"/>
        <v>0</v>
      </c>
      <c r="Q28" s="171">
        <f>Engineering68805[[#This Row],[Column16]]+Engineering68805[[#This Row],[Column17]]</f>
        <v>0</v>
      </c>
      <c r="R28" s="154">
        <v>0</v>
      </c>
      <c r="S28" s="154">
        <v>0</v>
      </c>
      <c r="T28" s="153">
        <f t="shared" si="12"/>
        <v>0</v>
      </c>
    </row>
    <row r="29" spans="1:20" ht="19" thickTop="1" thickBot="1">
      <c r="A29" s="165"/>
      <c r="B29" s="156" t="s">
        <v>59</v>
      </c>
      <c r="C29" s="157"/>
      <c r="D29" s="158"/>
      <c r="E29" s="158"/>
      <c r="F29" s="158"/>
      <c r="G29" s="158"/>
      <c r="H29" s="158"/>
      <c r="I29" s="159">
        <f>SUBTOTAL(109,Engineering68805[Column7])</f>
        <v>0</v>
      </c>
      <c r="J29" s="158">
        <f>SUBTOTAL(109,Engineering68805[Column8])</f>
        <v>0</v>
      </c>
      <c r="K29" s="158">
        <f>SUBTOTAL(109,Engineering68805[Column9])</f>
        <v>0</v>
      </c>
      <c r="L29" s="160">
        <f>IFERROR(J29/I29,0)</f>
        <v>0</v>
      </c>
      <c r="M29" s="159">
        <f>SUBTOTAL(109,Engineering68805[Column11])</f>
        <v>0</v>
      </c>
      <c r="N29" s="158">
        <f>SUBTOTAL(109,Engineering68805[Column12])</f>
        <v>0</v>
      </c>
      <c r="O29" s="158">
        <f>SUBTOTAL(109,Engineering68805[Column13])</f>
        <v>0</v>
      </c>
      <c r="P29" s="160">
        <f>IFERROR(N29/M29,0)</f>
        <v>0</v>
      </c>
      <c r="Q29" s="161">
        <f>SUBTOTAL(109,Engineering68805[Column15])</f>
        <v>0</v>
      </c>
      <c r="R29" s="162">
        <f>SUBTOTAL(109,Engineering68805[Column16])</f>
        <v>0</v>
      </c>
      <c r="S29" s="163">
        <f>SUBTOTAL(109,Engineering68805[Column17])</f>
        <v>0</v>
      </c>
      <c r="T29" s="42">
        <f t="shared" si="12"/>
        <v>0</v>
      </c>
    </row>
    <row r="30" spans="1:20" ht="16" thickBot="1"/>
    <row r="31" spans="1:20" ht="62">
      <c r="A31" s="270">
        <v>4</v>
      </c>
      <c r="B31" s="274" t="s">
        <v>3</v>
      </c>
      <c r="C31" s="166" t="s">
        <v>114</v>
      </c>
      <c r="D31" s="167"/>
      <c r="E31" s="168"/>
      <c r="F31" s="168"/>
      <c r="G31" s="167"/>
      <c r="H31" s="168"/>
      <c r="I31" s="169">
        <f>J31+K31</f>
        <v>0</v>
      </c>
      <c r="J31" s="167">
        <v>0</v>
      </c>
      <c r="K31" s="167">
        <v>0</v>
      </c>
      <c r="L31" s="170">
        <f>IFERROR(J31/I31,0)</f>
        <v>0</v>
      </c>
      <c r="M31" s="169">
        <f>N31+O31</f>
        <v>0</v>
      </c>
      <c r="N31" s="167">
        <v>0</v>
      </c>
      <c r="O31" s="167">
        <v>0</v>
      </c>
      <c r="P31" s="170">
        <f>IFERROR(N31/M31,0)</f>
        <v>0</v>
      </c>
      <c r="Q31" s="177">
        <v>0</v>
      </c>
      <c r="R31" s="172">
        <v>0</v>
      </c>
      <c r="S31" s="173">
        <v>0</v>
      </c>
      <c r="T31" s="174">
        <f t="shared" ref="T31:T36" si="17">IFERROR(R31/Q31,0)</f>
        <v>0</v>
      </c>
    </row>
    <row r="32" spans="1:20">
      <c r="A32" s="271"/>
      <c r="B32" s="275"/>
      <c r="C32" s="175"/>
      <c r="D32" s="176"/>
      <c r="E32" s="151"/>
      <c r="F32" s="151"/>
      <c r="G32" s="176"/>
      <c r="H32" s="151"/>
      <c r="I32" s="152">
        <f t="shared" ref="I32:I35" si="18">J32+K32</f>
        <v>0</v>
      </c>
      <c r="J32" s="151">
        <v>0</v>
      </c>
      <c r="K32" s="151">
        <v>0</v>
      </c>
      <c r="L32" s="153">
        <f t="shared" ref="L32:L35" si="19">IFERROR(J32/I32,0)</f>
        <v>0</v>
      </c>
      <c r="M32" s="152">
        <f t="shared" ref="M32:M35" si="20">N32+O32</f>
        <v>0</v>
      </c>
      <c r="N32" s="151">
        <v>0</v>
      </c>
      <c r="O32" s="151">
        <v>0</v>
      </c>
      <c r="P32" s="153">
        <f t="shared" ref="P32:P35" si="21">IFERROR(N32/M32,0)</f>
        <v>0</v>
      </c>
      <c r="Q32" s="178">
        <v>0</v>
      </c>
      <c r="R32" s="154">
        <v>0</v>
      </c>
      <c r="S32" s="154">
        <v>0</v>
      </c>
      <c r="T32" s="153">
        <f t="shared" si="17"/>
        <v>0</v>
      </c>
    </row>
    <row r="33" spans="1:20">
      <c r="A33" s="271"/>
      <c r="B33" s="275"/>
      <c r="C33" s="175"/>
      <c r="D33" s="176"/>
      <c r="E33" s="151"/>
      <c r="F33" s="151"/>
      <c r="G33" s="176"/>
      <c r="H33" s="151"/>
      <c r="I33" s="152">
        <f t="shared" si="18"/>
        <v>0</v>
      </c>
      <c r="J33" s="151">
        <v>0</v>
      </c>
      <c r="K33" s="151">
        <v>0</v>
      </c>
      <c r="L33" s="153">
        <f t="shared" si="19"/>
        <v>0</v>
      </c>
      <c r="M33" s="152">
        <f t="shared" si="20"/>
        <v>0</v>
      </c>
      <c r="N33" s="151">
        <v>0</v>
      </c>
      <c r="O33" s="151">
        <v>0</v>
      </c>
      <c r="P33" s="153">
        <f t="shared" si="21"/>
        <v>0</v>
      </c>
      <c r="Q33" s="178">
        <v>0</v>
      </c>
      <c r="R33" s="154">
        <v>0</v>
      </c>
      <c r="S33" s="154">
        <v>0</v>
      </c>
      <c r="T33" s="153">
        <f t="shared" si="17"/>
        <v>0</v>
      </c>
    </row>
    <row r="34" spans="1:20">
      <c r="A34" s="271"/>
      <c r="B34" s="275"/>
      <c r="C34" s="175"/>
      <c r="D34" s="176"/>
      <c r="E34" s="151"/>
      <c r="F34" s="151"/>
      <c r="G34" s="176"/>
      <c r="H34" s="151"/>
      <c r="I34" s="152">
        <f t="shared" si="18"/>
        <v>0</v>
      </c>
      <c r="J34" s="151">
        <v>0</v>
      </c>
      <c r="K34" s="151">
        <v>0</v>
      </c>
      <c r="L34" s="153">
        <f t="shared" si="19"/>
        <v>0</v>
      </c>
      <c r="M34" s="152">
        <f t="shared" si="20"/>
        <v>0</v>
      </c>
      <c r="N34" s="151">
        <v>0</v>
      </c>
      <c r="O34" s="151">
        <v>0</v>
      </c>
      <c r="P34" s="153">
        <f t="shared" si="21"/>
        <v>0</v>
      </c>
      <c r="Q34" s="178">
        <v>0</v>
      </c>
      <c r="R34" s="154">
        <v>0</v>
      </c>
      <c r="S34" s="154">
        <v>0</v>
      </c>
      <c r="T34" s="153">
        <f t="shared" si="17"/>
        <v>0</v>
      </c>
    </row>
    <row r="35" spans="1:20" ht="16" thickBot="1">
      <c r="A35" s="272"/>
      <c r="B35" s="276"/>
      <c r="C35" s="175"/>
      <c r="D35" s="176"/>
      <c r="E35" s="151"/>
      <c r="F35" s="151"/>
      <c r="G35" s="176"/>
      <c r="H35" s="151"/>
      <c r="I35" s="152">
        <f t="shared" si="18"/>
        <v>0</v>
      </c>
      <c r="J35" s="151">
        <v>0</v>
      </c>
      <c r="K35" s="151">
        <v>0</v>
      </c>
      <c r="L35" s="153">
        <f t="shared" si="19"/>
        <v>0</v>
      </c>
      <c r="M35" s="152">
        <f t="shared" si="20"/>
        <v>0</v>
      </c>
      <c r="N35" s="151">
        <v>0</v>
      </c>
      <c r="O35" s="151">
        <v>0</v>
      </c>
      <c r="P35" s="153">
        <f t="shared" si="21"/>
        <v>0</v>
      </c>
      <c r="Q35" s="178">
        <v>0</v>
      </c>
      <c r="R35" s="154">
        <v>0</v>
      </c>
      <c r="S35" s="154">
        <v>0</v>
      </c>
      <c r="T35" s="153">
        <f t="shared" si="17"/>
        <v>0</v>
      </c>
    </row>
    <row r="36" spans="1:20" ht="18.5" customHeight="1" thickTop="1" thickBot="1">
      <c r="A36" s="165"/>
      <c r="B36" s="156" t="s">
        <v>59</v>
      </c>
      <c r="C36" s="157"/>
      <c r="D36" s="158"/>
      <c r="E36" s="158"/>
      <c r="F36" s="158"/>
      <c r="G36" s="158"/>
      <c r="H36" s="158"/>
      <c r="I36" s="159">
        <f>SUBTOTAL(109,Engineering68816[Column7])</f>
        <v>0</v>
      </c>
      <c r="J36" s="158">
        <f>SUBTOTAL(109,Engineering68816[Column8])</f>
        <v>0</v>
      </c>
      <c r="K36" s="158">
        <f>SUBTOTAL(109,Engineering68816[Column9])</f>
        <v>0</v>
      </c>
      <c r="L36" s="160">
        <f>IFERROR(J36/I36,0)</f>
        <v>0</v>
      </c>
      <c r="M36" s="159">
        <f>SUBTOTAL(109,Engineering68816[Column11])</f>
        <v>0</v>
      </c>
      <c r="N36" s="158">
        <f>SUBTOTAL(109,Engineering68816[Column12])</f>
        <v>0</v>
      </c>
      <c r="O36" s="158">
        <f>SUBTOTAL(109,Engineering68816[Column13])</f>
        <v>0</v>
      </c>
      <c r="P36" s="160">
        <f>IFERROR(N36/M36,0)</f>
        <v>0</v>
      </c>
      <c r="Q36" s="161">
        <f>SUBTOTAL(109,Engineering68816[Column15])</f>
        <v>0</v>
      </c>
      <c r="R36" s="162">
        <f>SUBTOTAL(109,Engineering68816[Column16])</f>
        <v>0</v>
      </c>
      <c r="S36" s="163">
        <f>SUBTOTAL(109,Engineering68816[Column17])</f>
        <v>0</v>
      </c>
      <c r="T36" s="42">
        <f t="shared" si="17"/>
        <v>0</v>
      </c>
    </row>
    <row r="37" spans="1:20" ht="16" thickBot="1"/>
    <row r="38" spans="1:20" ht="62">
      <c r="A38" s="270">
        <v>5</v>
      </c>
      <c r="B38" s="274" t="s">
        <v>17</v>
      </c>
      <c r="C38" s="166" t="s">
        <v>115</v>
      </c>
      <c r="D38" s="167"/>
      <c r="E38" s="168"/>
      <c r="F38" s="168"/>
      <c r="G38" s="167"/>
      <c r="H38" s="168"/>
      <c r="I38" s="169">
        <f>J38+K38</f>
        <v>0</v>
      </c>
      <c r="J38" s="167">
        <v>0</v>
      </c>
      <c r="K38" s="167">
        <v>0</v>
      </c>
      <c r="L38" s="170">
        <f>IFERROR(J38/I38,0)</f>
        <v>0</v>
      </c>
      <c r="M38" s="169">
        <f>N38+O38</f>
        <v>0</v>
      </c>
      <c r="N38" s="167">
        <v>0</v>
      </c>
      <c r="O38" s="167">
        <v>0</v>
      </c>
      <c r="P38" s="170">
        <f>IFERROR(N38/M38,0)</f>
        <v>0</v>
      </c>
      <c r="Q38" s="177">
        <v>0</v>
      </c>
      <c r="R38" s="172">
        <v>0</v>
      </c>
      <c r="S38" s="173">
        <v>0</v>
      </c>
      <c r="T38" s="174">
        <f t="shared" ref="T38:T43" si="22">IFERROR(R38/Q38,0)</f>
        <v>0</v>
      </c>
    </row>
    <row r="39" spans="1:20">
      <c r="A39" s="271"/>
      <c r="B39" s="275"/>
      <c r="C39" s="175"/>
      <c r="D39" s="176"/>
      <c r="E39" s="151"/>
      <c r="F39" s="151"/>
      <c r="G39" s="176"/>
      <c r="H39" s="151"/>
      <c r="I39" s="152">
        <f>J39+K39</f>
        <v>0</v>
      </c>
      <c r="J39" s="151">
        <v>0</v>
      </c>
      <c r="K39" s="151">
        <v>0</v>
      </c>
      <c r="L39" s="153">
        <f>IFERROR(J39/I39,0)</f>
        <v>0</v>
      </c>
      <c r="M39" s="152">
        <f>N39+O39</f>
        <v>0</v>
      </c>
      <c r="N39" s="151">
        <v>0</v>
      </c>
      <c r="O39" s="151">
        <v>0</v>
      </c>
      <c r="P39" s="153">
        <f>IFERROR(N39/M39,0)</f>
        <v>0</v>
      </c>
      <c r="Q39" s="178">
        <v>0</v>
      </c>
      <c r="R39" s="154">
        <v>0</v>
      </c>
      <c r="S39" s="154">
        <v>0</v>
      </c>
      <c r="T39" s="153">
        <f t="shared" si="22"/>
        <v>0</v>
      </c>
    </row>
    <row r="40" spans="1:20">
      <c r="A40" s="271"/>
      <c r="B40" s="275"/>
      <c r="C40" s="175"/>
      <c r="D40" s="176"/>
      <c r="E40" s="151"/>
      <c r="F40" s="151"/>
      <c r="G40" s="176"/>
      <c r="H40" s="151"/>
      <c r="I40" s="152">
        <f t="shared" ref="I40:I42" si="23">J40+K40</f>
        <v>0</v>
      </c>
      <c r="J40" s="151">
        <v>0</v>
      </c>
      <c r="K40" s="151">
        <v>0</v>
      </c>
      <c r="L40" s="153">
        <f t="shared" ref="L40:L42" si="24">IFERROR(J40/I40,0)</f>
        <v>0</v>
      </c>
      <c r="M40" s="152">
        <f t="shared" ref="M40:M42" si="25">N40+O40</f>
        <v>0</v>
      </c>
      <c r="N40" s="151">
        <v>0</v>
      </c>
      <c r="O40" s="151">
        <v>0</v>
      </c>
      <c r="P40" s="153">
        <f t="shared" ref="P40:P42" si="26">IFERROR(N40/M40,0)</f>
        <v>0</v>
      </c>
      <c r="Q40" s="178">
        <v>0</v>
      </c>
      <c r="R40" s="154">
        <v>0</v>
      </c>
      <c r="S40" s="154">
        <v>0</v>
      </c>
      <c r="T40" s="153">
        <f t="shared" si="22"/>
        <v>0</v>
      </c>
    </row>
    <row r="41" spans="1:20">
      <c r="A41" s="271"/>
      <c r="B41" s="275"/>
      <c r="C41" s="175"/>
      <c r="D41" s="176"/>
      <c r="E41" s="151"/>
      <c r="F41" s="151"/>
      <c r="G41" s="176"/>
      <c r="H41" s="151"/>
      <c r="I41" s="152">
        <f t="shared" si="23"/>
        <v>0</v>
      </c>
      <c r="J41" s="151">
        <v>0</v>
      </c>
      <c r="K41" s="151">
        <v>0</v>
      </c>
      <c r="L41" s="153">
        <f t="shared" si="24"/>
        <v>0</v>
      </c>
      <c r="M41" s="152">
        <f t="shared" si="25"/>
        <v>0</v>
      </c>
      <c r="N41" s="151">
        <v>0</v>
      </c>
      <c r="O41" s="151">
        <v>0</v>
      </c>
      <c r="P41" s="153">
        <f t="shared" si="26"/>
        <v>0</v>
      </c>
      <c r="Q41" s="178">
        <v>0</v>
      </c>
      <c r="R41" s="154">
        <v>0</v>
      </c>
      <c r="S41" s="154">
        <v>0</v>
      </c>
      <c r="T41" s="153">
        <f t="shared" si="22"/>
        <v>0</v>
      </c>
    </row>
    <row r="42" spans="1:20" ht="16" thickBot="1">
      <c r="A42" s="272"/>
      <c r="B42" s="276"/>
      <c r="C42" s="175"/>
      <c r="D42" s="176"/>
      <c r="E42" s="151"/>
      <c r="F42" s="151"/>
      <c r="G42" s="176"/>
      <c r="H42" s="151"/>
      <c r="I42" s="152">
        <f t="shared" si="23"/>
        <v>0</v>
      </c>
      <c r="J42" s="151">
        <v>0</v>
      </c>
      <c r="K42" s="151">
        <v>0</v>
      </c>
      <c r="L42" s="153">
        <f t="shared" si="24"/>
        <v>0</v>
      </c>
      <c r="M42" s="152">
        <f t="shared" si="25"/>
        <v>0</v>
      </c>
      <c r="N42" s="151">
        <v>0</v>
      </c>
      <c r="O42" s="151">
        <v>0</v>
      </c>
      <c r="P42" s="153">
        <f t="shared" si="26"/>
        <v>0</v>
      </c>
      <c r="Q42" s="178">
        <v>0</v>
      </c>
      <c r="R42" s="154">
        <v>0</v>
      </c>
      <c r="S42" s="154">
        <v>0</v>
      </c>
      <c r="T42" s="153">
        <f t="shared" si="22"/>
        <v>0</v>
      </c>
    </row>
    <row r="43" spans="1:20" ht="19" thickTop="1" thickBot="1">
      <c r="A43" s="165"/>
      <c r="B43" s="156" t="s">
        <v>59</v>
      </c>
      <c r="C43" s="157"/>
      <c r="D43" s="158"/>
      <c r="E43" s="158"/>
      <c r="F43" s="158"/>
      <c r="G43" s="158"/>
      <c r="H43" s="158"/>
      <c r="I43" s="159">
        <f>SUBTOTAL(109,Engineering6881827[Column7])</f>
        <v>0</v>
      </c>
      <c r="J43" s="158">
        <f>SUBTOTAL(109,Engineering6881827[Column8])</f>
        <v>0</v>
      </c>
      <c r="K43" s="158">
        <f>SUBTOTAL(109,Engineering6881827[Column9])</f>
        <v>0</v>
      </c>
      <c r="L43" s="160">
        <f>IFERROR(J43/I43,0)</f>
        <v>0</v>
      </c>
      <c r="M43" s="159">
        <f>SUBTOTAL(109,Engineering6881827[Column11])</f>
        <v>0</v>
      </c>
      <c r="N43" s="158">
        <f>SUBTOTAL(109,Engineering6881827[Column12])</f>
        <v>0</v>
      </c>
      <c r="O43" s="158">
        <f>SUBTOTAL(109,Engineering6881827[Column13])</f>
        <v>0</v>
      </c>
      <c r="P43" s="160">
        <f>IFERROR(N43/M43,0)</f>
        <v>0</v>
      </c>
      <c r="Q43" s="161">
        <f>SUBTOTAL(109,Engineering6881827[Column15])</f>
        <v>0</v>
      </c>
      <c r="R43" s="162">
        <f>SUBTOTAL(109,Engineering6881827[Column16])</f>
        <v>0</v>
      </c>
      <c r="S43" s="163">
        <f>SUBTOTAL(109,Engineering6881827[Column17])</f>
        <v>0</v>
      </c>
      <c r="T43" s="42">
        <f t="shared" si="22"/>
        <v>0</v>
      </c>
    </row>
    <row r="44" spans="1:20" ht="16" thickBot="1"/>
    <row r="45" spans="1:20" ht="62">
      <c r="A45" s="270">
        <v>6</v>
      </c>
      <c r="B45" s="274" t="s">
        <v>4</v>
      </c>
      <c r="C45" s="166" t="s">
        <v>113</v>
      </c>
      <c r="D45" s="167"/>
      <c r="E45" s="168"/>
      <c r="F45" s="168"/>
      <c r="G45" s="167"/>
      <c r="H45" s="168"/>
      <c r="I45" s="179">
        <f>J45+K45</f>
        <v>0</v>
      </c>
      <c r="J45" s="168">
        <v>0</v>
      </c>
      <c r="K45" s="168">
        <v>0</v>
      </c>
      <c r="L45" s="180">
        <f>IFERROR(J45/I45,0)</f>
        <v>0</v>
      </c>
      <c r="M45" s="179">
        <f>N45+O45</f>
        <v>0</v>
      </c>
      <c r="N45" s="168">
        <v>0</v>
      </c>
      <c r="O45" s="168">
        <v>0</v>
      </c>
      <c r="P45" s="180">
        <f>IFERROR(N45/M45,0)</f>
        <v>0</v>
      </c>
      <c r="Q45" s="181">
        <f>R45+S45</f>
        <v>0</v>
      </c>
      <c r="R45" s="182">
        <v>0</v>
      </c>
      <c r="S45" s="183">
        <f>'#1'!S22</f>
        <v>0</v>
      </c>
      <c r="T45" s="184">
        <f t="shared" ref="T45:T50" si="27">IFERROR(R45/Q45,0)</f>
        <v>0</v>
      </c>
    </row>
    <row r="46" spans="1:20">
      <c r="A46" s="271"/>
      <c r="B46" s="275"/>
      <c r="C46" s="175"/>
      <c r="D46" s="176"/>
      <c r="E46" s="151"/>
      <c r="F46" s="151"/>
      <c r="G46" s="176"/>
      <c r="H46" s="151"/>
      <c r="I46" s="152">
        <f>J48+K48</f>
        <v>0</v>
      </c>
      <c r="J46" s="151">
        <f>'#1'!J21</f>
        <v>0</v>
      </c>
      <c r="K46" s="151">
        <f>'#1'!K21</f>
        <v>0</v>
      </c>
      <c r="L46" s="153">
        <f>IFERROR(J48/I48,0)</f>
        <v>0</v>
      </c>
      <c r="M46" s="152">
        <f>N48+O48</f>
        <v>0</v>
      </c>
      <c r="N46" s="151">
        <f>'#1'!N21</f>
        <v>0</v>
      </c>
      <c r="O46" s="151">
        <f>'#1'!O21</f>
        <v>0</v>
      </c>
      <c r="P46" s="153">
        <f>IFERROR(N48/M48,0)</f>
        <v>0</v>
      </c>
      <c r="Q46" s="178">
        <f>R48+S48</f>
        <v>0</v>
      </c>
      <c r="R46" s="154">
        <f>'#1'!R21</f>
        <v>0</v>
      </c>
      <c r="S46" s="185">
        <f>'#1'!S21</f>
        <v>0</v>
      </c>
      <c r="T46" s="186">
        <f t="shared" si="27"/>
        <v>0</v>
      </c>
    </row>
    <row r="47" spans="1:20">
      <c r="A47" s="271"/>
      <c r="B47" s="275"/>
      <c r="C47" s="175"/>
      <c r="D47" s="176"/>
      <c r="E47" s="151"/>
      <c r="F47" s="151"/>
      <c r="G47" s="176"/>
      <c r="H47" s="151"/>
      <c r="I47" s="152">
        <f>J47+K47</f>
        <v>0</v>
      </c>
      <c r="J47" s="151">
        <v>0</v>
      </c>
      <c r="K47" s="151">
        <v>0</v>
      </c>
      <c r="L47" s="153">
        <f>IFERROR(J47/I47,0)</f>
        <v>0</v>
      </c>
      <c r="M47" s="152">
        <f>N47+O47</f>
        <v>0</v>
      </c>
      <c r="N47" s="151">
        <v>0</v>
      </c>
      <c r="O47" s="151">
        <f>'#1'!O21</f>
        <v>0</v>
      </c>
      <c r="P47" s="153">
        <f>IFERROR(N47/M47,0)</f>
        <v>0</v>
      </c>
      <c r="Q47" s="178">
        <f>R47+S47</f>
        <v>0</v>
      </c>
      <c r="R47" s="154">
        <v>0</v>
      </c>
      <c r="S47" s="185">
        <f>'#1'!S21</f>
        <v>0</v>
      </c>
      <c r="T47" s="186">
        <f t="shared" si="27"/>
        <v>0</v>
      </c>
    </row>
    <row r="48" spans="1:20">
      <c r="A48" s="271"/>
      <c r="B48" s="275"/>
      <c r="C48" s="175"/>
      <c r="D48" s="176"/>
      <c r="E48" s="151"/>
      <c r="F48" s="151"/>
      <c r="G48" s="176"/>
      <c r="H48" s="151"/>
      <c r="I48" s="152">
        <f>J48+K48</f>
        <v>0</v>
      </c>
      <c r="J48" s="151">
        <f>'#1'!J22</f>
        <v>0</v>
      </c>
      <c r="K48" s="151">
        <f>'#1'!K22</f>
        <v>0</v>
      </c>
      <c r="L48" s="153">
        <f>IFERROR(J48/I48,0)</f>
        <v>0</v>
      </c>
      <c r="M48" s="152">
        <f>N48+O48</f>
        <v>0</v>
      </c>
      <c r="N48" s="151">
        <f>'#1'!N22</f>
        <v>0</v>
      </c>
      <c r="O48" s="151">
        <f>'#1'!O22</f>
        <v>0</v>
      </c>
      <c r="P48" s="153">
        <f>IFERROR(N48/M48,0)</f>
        <v>0</v>
      </c>
      <c r="Q48" s="178">
        <f>R48+S48</f>
        <v>0</v>
      </c>
      <c r="R48" s="154">
        <f>'#1'!R22</f>
        <v>0</v>
      </c>
      <c r="S48" s="185">
        <f>'#1'!S22</f>
        <v>0</v>
      </c>
      <c r="T48" s="186">
        <f t="shared" si="27"/>
        <v>0</v>
      </c>
    </row>
    <row r="49" spans="1:20" ht="16" thickBot="1">
      <c r="A49" s="272"/>
      <c r="B49" s="276"/>
      <c r="C49" s="175"/>
      <c r="D49" s="176"/>
      <c r="E49" s="151"/>
      <c r="F49" s="151"/>
      <c r="G49" s="176"/>
      <c r="H49" s="151"/>
      <c r="I49" s="152">
        <f>J49+K49</f>
        <v>0</v>
      </c>
      <c r="J49" s="151">
        <f>'#1'!J21</f>
        <v>0</v>
      </c>
      <c r="K49" s="151">
        <f>'#1'!K21</f>
        <v>0</v>
      </c>
      <c r="L49" s="153">
        <f>IFERROR(J49/I49,0)</f>
        <v>0</v>
      </c>
      <c r="M49" s="152">
        <f>N49+O49</f>
        <v>0</v>
      </c>
      <c r="N49" s="151">
        <f>'#1'!N21</f>
        <v>0</v>
      </c>
      <c r="O49" s="151">
        <f>'#1'!O21</f>
        <v>0</v>
      </c>
      <c r="P49" s="153">
        <f>IFERROR(N49/M49,0)</f>
        <v>0</v>
      </c>
      <c r="Q49" s="178">
        <f>R49+S49</f>
        <v>0</v>
      </c>
      <c r="R49" s="154">
        <f>'#1'!R21</f>
        <v>0</v>
      </c>
      <c r="S49" s="185">
        <f>'#1'!S21</f>
        <v>0</v>
      </c>
      <c r="T49" s="186">
        <f t="shared" si="27"/>
        <v>0</v>
      </c>
    </row>
    <row r="50" spans="1:20" ht="19" thickTop="1" thickBot="1">
      <c r="A50" s="165"/>
      <c r="B50" s="156" t="s">
        <v>59</v>
      </c>
      <c r="C50" s="157"/>
      <c r="D50" s="158"/>
      <c r="E50" s="158"/>
      <c r="F50" s="158"/>
      <c r="G50" s="158"/>
      <c r="H50" s="158"/>
      <c r="I50" s="159">
        <f>SUBTOTAL(109,Engineering6881838[Column7])</f>
        <v>0</v>
      </c>
      <c r="J50" s="158">
        <f>SUBTOTAL(109,Engineering6881838[Column8])</f>
        <v>0</v>
      </c>
      <c r="K50" s="158">
        <f>SUBTOTAL(109,Engineering6881838[Column9])</f>
        <v>0</v>
      </c>
      <c r="L50" s="160">
        <f>IFERROR(J50/I50,0)</f>
        <v>0</v>
      </c>
      <c r="M50" s="159">
        <f>SUBTOTAL(109,Engineering6881838[Column11])</f>
        <v>0</v>
      </c>
      <c r="N50" s="158">
        <f>SUBTOTAL(109,Engineering6881838[Column12])</f>
        <v>0</v>
      </c>
      <c r="O50" s="158">
        <f>SUBTOTAL(109,Engineering6881838[Column13])</f>
        <v>0</v>
      </c>
      <c r="P50" s="43">
        <f>IFERROR(N50/M50,0)</f>
        <v>0</v>
      </c>
      <c r="Q50" s="161">
        <f>SUBTOTAL(109,Engineering6881838[Column15])</f>
        <v>0</v>
      </c>
      <c r="R50" s="162">
        <f>SUBTOTAL(109,Engineering6881838[Column16])</f>
        <v>0</v>
      </c>
      <c r="S50" s="163">
        <f>SUBTOTAL(109,Engineering6881838[Column17])</f>
        <v>0</v>
      </c>
      <c r="T50" s="42">
        <f t="shared" si="27"/>
        <v>0</v>
      </c>
    </row>
    <row r="51" spans="1:20" ht="16" thickBot="1"/>
    <row r="52" spans="1:20" ht="62">
      <c r="A52" s="270">
        <v>7</v>
      </c>
      <c r="B52" s="274" t="s">
        <v>9</v>
      </c>
      <c r="C52" s="166" t="s">
        <v>116</v>
      </c>
      <c r="D52" s="167"/>
      <c r="E52" s="168"/>
      <c r="F52" s="168"/>
      <c r="G52" s="167"/>
      <c r="H52" s="168"/>
      <c r="I52" s="179">
        <f>J52+K52</f>
        <v>0</v>
      </c>
      <c r="J52" s="168">
        <v>0</v>
      </c>
      <c r="K52" s="168">
        <v>0</v>
      </c>
      <c r="L52" s="180">
        <f>IFERROR(J52/I52,0)</f>
        <v>0</v>
      </c>
      <c r="M52" s="179">
        <f>N52+O52</f>
        <v>0</v>
      </c>
      <c r="N52" s="168">
        <v>0</v>
      </c>
      <c r="O52" s="168">
        <v>0</v>
      </c>
      <c r="P52" s="180">
        <f>IFERROR(N52/M52,0)</f>
        <v>0</v>
      </c>
      <c r="Q52" s="181">
        <f>R52+S52</f>
        <v>0</v>
      </c>
      <c r="R52" s="182">
        <v>0</v>
      </c>
      <c r="S52" s="183">
        <f>'#1'!S29</f>
        <v>0</v>
      </c>
      <c r="T52" s="184">
        <f t="shared" ref="T52:T57" si="28">IFERROR(R52/Q52,0)</f>
        <v>0</v>
      </c>
    </row>
    <row r="53" spans="1:20">
      <c r="A53" s="271"/>
      <c r="B53" s="275"/>
      <c r="C53" s="175"/>
      <c r="D53" s="176"/>
      <c r="E53" s="151"/>
      <c r="F53" s="151"/>
      <c r="G53" s="176"/>
      <c r="H53" s="151"/>
      <c r="I53" s="152">
        <f>J55+K55</f>
        <v>0</v>
      </c>
      <c r="J53" s="151">
        <f>'#1'!J28</f>
        <v>0</v>
      </c>
      <c r="K53" s="151">
        <f>'#1'!K28</f>
        <v>0</v>
      </c>
      <c r="L53" s="153">
        <f>IFERROR(J55/I55,0)</f>
        <v>0</v>
      </c>
      <c r="M53" s="152">
        <f>N55+O55</f>
        <v>0</v>
      </c>
      <c r="N53" s="151">
        <f>'#1'!N28</f>
        <v>0</v>
      </c>
      <c r="O53" s="151">
        <f>'#1'!O28</f>
        <v>0</v>
      </c>
      <c r="P53" s="153">
        <f>IFERROR(N55/M55,0)</f>
        <v>0</v>
      </c>
      <c r="Q53" s="178">
        <f>R55+S55</f>
        <v>0</v>
      </c>
      <c r="R53" s="154">
        <f>'#1'!R28</f>
        <v>0</v>
      </c>
      <c r="S53" s="185">
        <f>'#1'!S28</f>
        <v>0</v>
      </c>
      <c r="T53" s="186">
        <f t="shared" si="28"/>
        <v>0</v>
      </c>
    </row>
    <row r="54" spans="1:20">
      <c r="A54" s="271"/>
      <c r="B54" s="275"/>
      <c r="C54" s="175"/>
      <c r="D54" s="176"/>
      <c r="E54" s="151"/>
      <c r="F54" s="151"/>
      <c r="G54" s="176"/>
      <c r="H54" s="151"/>
      <c r="I54" s="152">
        <f>J54+K54</f>
        <v>0</v>
      </c>
      <c r="J54" s="151">
        <v>0</v>
      </c>
      <c r="K54" s="151">
        <v>0</v>
      </c>
      <c r="L54" s="153">
        <f>IFERROR(J54/I54,0)</f>
        <v>0</v>
      </c>
      <c r="M54" s="152">
        <f>N54+O54</f>
        <v>0</v>
      </c>
      <c r="N54" s="151">
        <v>0</v>
      </c>
      <c r="O54" s="151">
        <f>'#1'!O28</f>
        <v>0</v>
      </c>
      <c r="P54" s="153">
        <f>IFERROR(N54/M54,0)</f>
        <v>0</v>
      </c>
      <c r="Q54" s="178">
        <f>R54+S54</f>
        <v>0</v>
      </c>
      <c r="R54" s="154">
        <v>0</v>
      </c>
      <c r="S54" s="185">
        <f>'#1'!S28</f>
        <v>0</v>
      </c>
      <c r="T54" s="186">
        <f t="shared" si="28"/>
        <v>0</v>
      </c>
    </row>
    <row r="55" spans="1:20">
      <c r="A55" s="271"/>
      <c r="B55" s="275"/>
      <c r="C55" s="175"/>
      <c r="D55" s="176"/>
      <c r="E55" s="151"/>
      <c r="F55" s="151"/>
      <c r="G55" s="176"/>
      <c r="H55" s="151"/>
      <c r="I55" s="152">
        <f>J55+K55</f>
        <v>0</v>
      </c>
      <c r="J55" s="151">
        <f>'#1'!J29</f>
        <v>0</v>
      </c>
      <c r="K55" s="151">
        <f>'#1'!K29</f>
        <v>0</v>
      </c>
      <c r="L55" s="153">
        <f>IFERROR(J55/I55,0)</f>
        <v>0</v>
      </c>
      <c r="M55" s="152">
        <f>N55+O55</f>
        <v>0</v>
      </c>
      <c r="N55" s="151">
        <f>'#1'!N29</f>
        <v>0</v>
      </c>
      <c r="O55" s="151">
        <f>'#1'!O29</f>
        <v>0</v>
      </c>
      <c r="P55" s="153">
        <f>IFERROR(N55/M55,0)</f>
        <v>0</v>
      </c>
      <c r="Q55" s="178">
        <f>R55+S55</f>
        <v>0</v>
      </c>
      <c r="R55" s="154">
        <f>'#1'!R29</f>
        <v>0</v>
      </c>
      <c r="S55" s="185">
        <f>'#1'!S29</f>
        <v>0</v>
      </c>
      <c r="T55" s="186">
        <f t="shared" si="28"/>
        <v>0</v>
      </c>
    </row>
    <row r="56" spans="1:20" ht="16" thickBot="1">
      <c r="A56" s="272"/>
      <c r="B56" s="276"/>
      <c r="C56" s="175"/>
      <c r="D56" s="176"/>
      <c r="E56" s="151"/>
      <c r="F56" s="151"/>
      <c r="G56" s="176"/>
      <c r="H56" s="151"/>
      <c r="I56" s="152">
        <f>J56+K56</f>
        <v>0</v>
      </c>
      <c r="J56" s="151">
        <f>'#1'!J28</f>
        <v>0</v>
      </c>
      <c r="K56" s="151">
        <f>'#1'!K28</f>
        <v>0</v>
      </c>
      <c r="L56" s="153">
        <f>IFERROR(J56/I56,0)</f>
        <v>0</v>
      </c>
      <c r="M56" s="152">
        <f>N56+O56</f>
        <v>0</v>
      </c>
      <c r="N56" s="151">
        <f>'#1'!N28</f>
        <v>0</v>
      </c>
      <c r="O56" s="151">
        <f>'#1'!O28</f>
        <v>0</v>
      </c>
      <c r="P56" s="153">
        <f>IFERROR(N56/M56,0)</f>
        <v>0</v>
      </c>
      <c r="Q56" s="178">
        <f>R56+S56</f>
        <v>0</v>
      </c>
      <c r="R56" s="154">
        <f>'#1'!R28</f>
        <v>0</v>
      </c>
      <c r="S56" s="185">
        <f>'#1'!S28</f>
        <v>0</v>
      </c>
      <c r="T56" s="186">
        <f t="shared" si="28"/>
        <v>0</v>
      </c>
    </row>
    <row r="57" spans="1:20" ht="19" thickTop="1" thickBot="1">
      <c r="A57" s="165"/>
      <c r="B57" s="156" t="s">
        <v>59</v>
      </c>
      <c r="C57" s="157"/>
      <c r="D57" s="158"/>
      <c r="E57" s="158"/>
      <c r="F57" s="158"/>
      <c r="G57" s="158"/>
      <c r="H57" s="158"/>
      <c r="I57" s="159">
        <f>SUBTOTAL(109,Engineering6881849[Column7])</f>
        <v>0</v>
      </c>
      <c r="J57" s="158">
        <f>SUBTOTAL(109,Engineering6881849[Column8])</f>
        <v>0</v>
      </c>
      <c r="K57" s="158">
        <f>SUBTOTAL(109,Engineering6881849[Column9])</f>
        <v>0</v>
      </c>
      <c r="L57" s="160">
        <f>IFERROR(J57/I57,0)</f>
        <v>0</v>
      </c>
      <c r="M57" s="159">
        <f>SUBTOTAL(109,Engineering6881849[Column11])</f>
        <v>0</v>
      </c>
      <c r="N57" s="158">
        <f>SUBTOTAL(109,Engineering6881849[Column12])</f>
        <v>0</v>
      </c>
      <c r="O57" s="158">
        <f>SUBTOTAL(109,Engineering6881849[Column13])</f>
        <v>0</v>
      </c>
      <c r="P57" s="43">
        <f>IFERROR(N57/M57,0)</f>
        <v>0</v>
      </c>
      <c r="Q57" s="161">
        <f>SUBTOTAL(109,Engineering6881849[Column15])</f>
        <v>0</v>
      </c>
      <c r="R57" s="162">
        <f>SUBTOTAL(109,Engineering6881849[Column16])</f>
        <v>0</v>
      </c>
      <c r="S57" s="163">
        <f>SUBTOTAL(109,Engineering6881849[Column17])</f>
        <v>0</v>
      </c>
      <c r="T57" s="42">
        <f t="shared" si="28"/>
        <v>0</v>
      </c>
    </row>
    <row r="58" spans="1:20" ht="16" thickBot="1"/>
    <row r="59" spans="1:20" ht="62">
      <c r="A59" s="270">
        <v>8</v>
      </c>
      <c r="B59" s="274" t="s">
        <v>5</v>
      </c>
      <c r="C59" s="166" t="s">
        <v>113</v>
      </c>
      <c r="D59" s="167"/>
      <c r="E59" s="168"/>
      <c r="F59" s="168"/>
      <c r="G59" s="167"/>
      <c r="H59" s="168"/>
      <c r="I59" s="179">
        <f>J59+K59</f>
        <v>0</v>
      </c>
      <c r="J59" s="168">
        <v>0</v>
      </c>
      <c r="K59" s="168">
        <v>0</v>
      </c>
      <c r="L59" s="180">
        <f>IFERROR(J59/I59,0)</f>
        <v>0</v>
      </c>
      <c r="M59" s="179">
        <f>N59+O59</f>
        <v>0</v>
      </c>
      <c r="N59" s="168">
        <v>0</v>
      </c>
      <c r="O59" s="168">
        <v>0</v>
      </c>
      <c r="P59" s="180">
        <f>IFERROR(N59/M59,0)</f>
        <v>0</v>
      </c>
      <c r="Q59" s="181">
        <f>R59+S59</f>
        <v>0</v>
      </c>
      <c r="R59" s="182">
        <v>0</v>
      </c>
      <c r="S59" s="183">
        <f>'#1'!S36</f>
        <v>0</v>
      </c>
      <c r="T59" s="184">
        <f t="shared" ref="T59:T64" si="29">IFERROR(R59/Q59,0)</f>
        <v>0</v>
      </c>
    </row>
    <row r="60" spans="1:20">
      <c r="A60" s="271"/>
      <c r="B60" s="275"/>
      <c r="C60" s="175"/>
      <c r="D60" s="176"/>
      <c r="E60" s="151"/>
      <c r="F60" s="151"/>
      <c r="G60" s="176"/>
      <c r="H60" s="151"/>
      <c r="I60" s="152">
        <f>J62+K62</f>
        <v>0</v>
      </c>
      <c r="J60" s="151">
        <f>'#1'!J35</f>
        <v>0</v>
      </c>
      <c r="K60" s="151">
        <f>'#1'!K35</f>
        <v>0</v>
      </c>
      <c r="L60" s="153">
        <f>IFERROR(J62/I62,0)</f>
        <v>0</v>
      </c>
      <c r="M60" s="152">
        <f>N62+O62</f>
        <v>0</v>
      </c>
      <c r="N60" s="151">
        <f>'#1'!N35</f>
        <v>0</v>
      </c>
      <c r="O60" s="151">
        <f>'#1'!O35</f>
        <v>0</v>
      </c>
      <c r="P60" s="153">
        <f>IFERROR(N62/M62,0)</f>
        <v>0</v>
      </c>
      <c r="Q60" s="178">
        <f>R62+S62</f>
        <v>0</v>
      </c>
      <c r="R60" s="154">
        <f>'#1'!R35</f>
        <v>0</v>
      </c>
      <c r="S60" s="185">
        <f>'#1'!S35</f>
        <v>0</v>
      </c>
      <c r="T60" s="186">
        <f t="shared" si="29"/>
        <v>0</v>
      </c>
    </row>
    <row r="61" spans="1:20">
      <c r="A61" s="271"/>
      <c r="B61" s="275"/>
      <c r="C61" s="175"/>
      <c r="D61" s="176"/>
      <c r="E61" s="151"/>
      <c r="F61" s="151"/>
      <c r="G61" s="176"/>
      <c r="H61" s="151"/>
      <c r="I61" s="152">
        <f>J61+K61</f>
        <v>0</v>
      </c>
      <c r="J61" s="151">
        <v>0</v>
      </c>
      <c r="K61" s="151">
        <v>0</v>
      </c>
      <c r="L61" s="153">
        <f>IFERROR(J61/I61,0)</f>
        <v>0</v>
      </c>
      <c r="M61" s="152">
        <f>N61+O61</f>
        <v>0</v>
      </c>
      <c r="N61" s="151">
        <v>0</v>
      </c>
      <c r="O61" s="151">
        <f>'#1'!O35</f>
        <v>0</v>
      </c>
      <c r="P61" s="153">
        <f>IFERROR(N61/M61,0)</f>
        <v>0</v>
      </c>
      <c r="Q61" s="178">
        <f>R61+S61</f>
        <v>0</v>
      </c>
      <c r="R61" s="154">
        <v>0</v>
      </c>
      <c r="S61" s="185">
        <f>'#1'!S35</f>
        <v>0</v>
      </c>
      <c r="T61" s="186">
        <f t="shared" si="29"/>
        <v>0</v>
      </c>
    </row>
    <row r="62" spans="1:20">
      <c r="A62" s="271"/>
      <c r="B62" s="275"/>
      <c r="C62" s="175"/>
      <c r="D62" s="176"/>
      <c r="E62" s="151"/>
      <c r="F62" s="151"/>
      <c r="G62" s="176"/>
      <c r="H62" s="151"/>
      <c r="I62" s="152">
        <f>J62+K62</f>
        <v>0</v>
      </c>
      <c r="J62" s="151">
        <f>'#1'!J36</f>
        <v>0</v>
      </c>
      <c r="K62" s="151">
        <f>'#1'!K36</f>
        <v>0</v>
      </c>
      <c r="L62" s="153">
        <f>IFERROR(J62/I62,0)</f>
        <v>0</v>
      </c>
      <c r="M62" s="152">
        <f>N62+O62</f>
        <v>0</v>
      </c>
      <c r="N62" s="151">
        <f>'#1'!N36</f>
        <v>0</v>
      </c>
      <c r="O62" s="151">
        <f>'#1'!O36</f>
        <v>0</v>
      </c>
      <c r="P62" s="153">
        <f>IFERROR(N62/M62,0)</f>
        <v>0</v>
      </c>
      <c r="Q62" s="178">
        <f>R62+S62</f>
        <v>0</v>
      </c>
      <c r="R62" s="154">
        <f>'#1'!R36</f>
        <v>0</v>
      </c>
      <c r="S62" s="185">
        <f>'#1'!S36</f>
        <v>0</v>
      </c>
      <c r="T62" s="186">
        <f t="shared" si="29"/>
        <v>0</v>
      </c>
    </row>
    <row r="63" spans="1:20" ht="16" thickBot="1">
      <c r="A63" s="272"/>
      <c r="B63" s="276"/>
      <c r="C63" s="175"/>
      <c r="D63" s="176"/>
      <c r="E63" s="151"/>
      <c r="F63" s="151"/>
      <c r="G63" s="176"/>
      <c r="H63" s="151"/>
      <c r="I63" s="152">
        <f>J63+K63</f>
        <v>0</v>
      </c>
      <c r="J63" s="151">
        <f>'#1'!J35</f>
        <v>0</v>
      </c>
      <c r="K63" s="151">
        <f>'#1'!K35</f>
        <v>0</v>
      </c>
      <c r="L63" s="153">
        <f>IFERROR(J63/I63,0)</f>
        <v>0</v>
      </c>
      <c r="M63" s="152">
        <f>N63+O63</f>
        <v>0</v>
      </c>
      <c r="N63" s="151">
        <f>'#1'!N35</f>
        <v>0</v>
      </c>
      <c r="O63" s="151">
        <f>'#1'!O35</f>
        <v>0</v>
      </c>
      <c r="P63" s="153">
        <f>IFERROR(N63/M63,0)</f>
        <v>0</v>
      </c>
      <c r="Q63" s="178">
        <f>R63+S63</f>
        <v>0</v>
      </c>
      <c r="R63" s="154">
        <f>'#1'!R35</f>
        <v>0</v>
      </c>
      <c r="S63" s="185">
        <f>'#1'!S35</f>
        <v>0</v>
      </c>
      <c r="T63" s="186">
        <f t="shared" si="29"/>
        <v>0</v>
      </c>
    </row>
    <row r="64" spans="1:20" ht="19" thickTop="1" thickBot="1">
      <c r="A64" s="165"/>
      <c r="B64" s="156" t="s">
        <v>59</v>
      </c>
      <c r="C64" s="157"/>
      <c r="D64" s="158"/>
      <c r="E64" s="158"/>
      <c r="F64" s="158"/>
      <c r="G64" s="158"/>
      <c r="H64" s="158"/>
      <c r="I64" s="159">
        <f>SUBTOTAL(109,Engineering68818510[Column7])</f>
        <v>0</v>
      </c>
      <c r="J64" s="158">
        <f>SUBTOTAL(109,Engineering68818510[Column8])</f>
        <v>0</v>
      </c>
      <c r="K64" s="158">
        <f>SUBTOTAL(109,Engineering68818510[Column9])</f>
        <v>0</v>
      </c>
      <c r="L64" s="160">
        <f>IFERROR(J64/I64,0)</f>
        <v>0</v>
      </c>
      <c r="M64" s="159">
        <f>SUBTOTAL(109,Engineering68818510[Column11])</f>
        <v>0</v>
      </c>
      <c r="N64" s="158">
        <f>SUBTOTAL(109,Engineering68818510[Column12])</f>
        <v>0</v>
      </c>
      <c r="O64" s="158">
        <f>SUBTOTAL(109,Engineering68818510[Column13])</f>
        <v>0</v>
      </c>
      <c r="P64" s="43">
        <f>IFERROR(N64/M64,0)</f>
        <v>0</v>
      </c>
      <c r="Q64" s="161">
        <f>SUBTOTAL(109,Engineering68818510[Column15])</f>
        <v>0</v>
      </c>
      <c r="R64" s="162">
        <f>SUBTOTAL(109,Engineering68818510[Column16])</f>
        <v>0</v>
      </c>
      <c r="S64" s="163">
        <f>SUBTOTAL(109,Engineering68818510[Column17])</f>
        <v>0</v>
      </c>
      <c r="T64" s="42">
        <f t="shared" si="29"/>
        <v>0</v>
      </c>
    </row>
    <row r="65" spans="1:20" ht="16" thickBot="1"/>
    <row r="66" spans="1:20" ht="62">
      <c r="A66" s="270">
        <v>9</v>
      </c>
      <c r="B66" s="274" t="s">
        <v>11</v>
      </c>
      <c r="C66" s="166" t="s">
        <v>117</v>
      </c>
      <c r="D66" s="167"/>
      <c r="E66" s="168"/>
      <c r="F66" s="168"/>
      <c r="G66" s="167"/>
      <c r="H66" s="168"/>
      <c r="I66" s="179">
        <f>J66+K66</f>
        <v>0</v>
      </c>
      <c r="J66" s="168">
        <v>0</v>
      </c>
      <c r="K66" s="168">
        <v>0</v>
      </c>
      <c r="L66" s="180">
        <f>IFERROR(J66/I66,0)</f>
        <v>0</v>
      </c>
      <c r="M66" s="179">
        <f>N66+O66</f>
        <v>0</v>
      </c>
      <c r="N66" s="168">
        <v>0</v>
      </c>
      <c r="O66" s="168">
        <v>0</v>
      </c>
      <c r="P66" s="180">
        <f>IFERROR(N66/M66,0)</f>
        <v>0</v>
      </c>
      <c r="Q66" s="181">
        <f>R66+S66</f>
        <v>0</v>
      </c>
      <c r="R66" s="182">
        <v>0</v>
      </c>
      <c r="S66" s="183">
        <f>'#1'!S43</f>
        <v>0</v>
      </c>
      <c r="T66" s="184">
        <f t="shared" ref="T66:T71" si="30">IFERROR(R66/Q66,0)</f>
        <v>0</v>
      </c>
    </row>
    <row r="67" spans="1:20">
      <c r="A67" s="271"/>
      <c r="B67" s="275"/>
      <c r="C67" s="175"/>
      <c r="D67" s="176"/>
      <c r="E67" s="151"/>
      <c r="F67" s="151"/>
      <c r="G67" s="176"/>
      <c r="H67" s="151"/>
      <c r="I67" s="152">
        <f>J69+K69</f>
        <v>0</v>
      </c>
      <c r="J67" s="151">
        <f>'#1'!J42</f>
        <v>0</v>
      </c>
      <c r="K67" s="151">
        <f>'#1'!K42</f>
        <v>0</v>
      </c>
      <c r="L67" s="153">
        <f>IFERROR(J69/I69,0)</f>
        <v>0</v>
      </c>
      <c r="M67" s="152">
        <f>N69+O69</f>
        <v>0</v>
      </c>
      <c r="N67" s="151">
        <f>'#1'!N42</f>
        <v>0</v>
      </c>
      <c r="O67" s="151">
        <f>'#1'!O42</f>
        <v>0</v>
      </c>
      <c r="P67" s="153">
        <f>IFERROR(N69/M69,0)</f>
        <v>0</v>
      </c>
      <c r="Q67" s="178">
        <f>R69+S69</f>
        <v>0</v>
      </c>
      <c r="R67" s="154">
        <f>'#1'!R42</f>
        <v>0</v>
      </c>
      <c r="S67" s="185">
        <f>'#1'!S42</f>
        <v>0</v>
      </c>
      <c r="T67" s="186">
        <f t="shared" si="30"/>
        <v>0</v>
      </c>
    </row>
    <row r="68" spans="1:20">
      <c r="A68" s="271"/>
      <c r="B68" s="275"/>
      <c r="C68" s="175"/>
      <c r="D68" s="176"/>
      <c r="E68" s="151"/>
      <c r="F68" s="151"/>
      <c r="G68" s="176"/>
      <c r="H68" s="151"/>
      <c r="I68" s="152">
        <f>J68+K68</f>
        <v>0</v>
      </c>
      <c r="J68" s="151">
        <v>0</v>
      </c>
      <c r="K68" s="151">
        <v>0</v>
      </c>
      <c r="L68" s="153">
        <f>IFERROR(J68/I68,0)</f>
        <v>0</v>
      </c>
      <c r="M68" s="152">
        <f>N68+O68</f>
        <v>0</v>
      </c>
      <c r="N68" s="151">
        <v>0</v>
      </c>
      <c r="O68" s="151">
        <f>'#1'!O42</f>
        <v>0</v>
      </c>
      <c r="P68" s="153">
        <f>IFERROR(N68/M68,0)</f>
        <v>0</v>
      </c>
      <c r="Q68" s="178">
        <f>R68+S68</f>
        <v>0</v>
      </c>
      <c r="R68" s="154">
        <v>0</v>
      </c>
      <c r="S68" s="185">
        <f>'#1'!S42</f>
        <v>0</v>
      </c>
      <c r="T68" s="186">
        <f t="shared" si="30"/>
        <v>0</v>
      </c>
    </row>
    <row r="69" spans="1:20">
      <c r="A69" s="271"/>
      <c r="B69" s="275"/>
      <c r="C69" s="175"/>
      <c r="D69" s="176"/>
      <c r="E69" s="151"/>
      <c r="F69" s="151"/>
      <c r="G69" s="176"/>
      <c r="H69" s="151"/>
      <c r="I69" s="152">
        <f>J69+K69</f>
        <v>0</v>
      </c>
      <c r="J69" s="151">
        <f>'#1'!J43</f>
        <v>0</v>
      </c>
      <c r="K69" s="151">
        <f>'#1'!K43</f>
        <v>0</v>
      </c>
      <c r="L69" s="153">
        <f>IFERROR(J69/I69,0)</f>
        <v>0</v>
      </c>
      <c r="M69" s="152">
        <f>N69+O69</f>
        <v>0</v>
      </c>
      <c r="N69" s="151">
        <f>'#1'!N43</f>
        <v>0</v>
      </c>
      <c r="O69" s="151">
        <f>'#1'!O43</f>
        <v>0</v>
      </c>
      <c r="P69" s="153">
        <f>IFERROR(N69/M69,0)</f>
        <v>0</v>
      </c>
      <c r="Q69" s="178">
        <f>R69+S69</f>
        <v>0</v>
      </c>
      <c r="R69" s="154">
        <f>'#1'!R43</f>
        <v>0</v>
      </c>
      <c r="S69" s="185">
        <f>'#1'!S43</f>
        <v>0</v>
      </c>
      <c r="T69" s="186">
        <f t="shared" si="30"/>
        <v>0</v>
      </c>
    </row>
    <row r="70" spans="1:20" ht="16" thickBot="1">
      <c r="A70" s="272"/>
      <c r="B70" s="276"/>
      <c r="C70" s="175"/>
      <c r="D70" s="176"/>
      <c r="E70" s="151"/>
      <c r="F70" s="151"/>
      <c r="G70" s="176"/>
      <c r="H70" s="151"/>
      <c r="I70" s="152">
        <f>J70+K70</f>
        <v>0</v>
      </c>
      <c r="J70" s="151">
        <f>'#1'!J42</f>
        <v>0</v>
      </c>
      <c r="K70" s="151">
        <f>'#1'!K42</f>
        <v>0</v>
      </c>
      <c r="L70" s="153">
        <f>IFERROR(J70/I70,0)</f>
        <v>0</v>
      </c>
      <c r="M70" s="152">
        <f>N70+O70</f>
        <v>0</v>
      </c>
      <c r="N70" s="151">
        <f>'#1'!N42</f>
        <v>0</v>
      </c>
      <c r="O70" s="151">
        <f>'#1'!O42</f>
        <v>0</v>
      </c>
      <c r="P70" s="153">
        <f>IFERROR(N70/M70,0)</f>
        <v>0</v>
      </c>
      <c r="Q70" s="178">
        <f>R70+S70</f>
        <v>0</v>
      </c>
      <c r="R70" s="154">
        <f>'#1'!R42</f>
        <v>0</v>
      </c>
      <c r="S70" s="185">
        <f>'#1'!S42</f>
        <v>0</v>
      </c>
      <c r="T70" s="186">
        <f t="shared" si="30"/>
        <v>0</v>
      </c>
    </row>
    <row r="71" spans="1:20" ht="19" thickTop="1" thickBot="1">
      <c r="A71" s="165"/>
      <c r="B71" s="156" t="s">
        <v>59</v>
      </c>
      <c r="C71" s="157"/>
      <c r="D71" s="158"/>
      <c r="E71" s="158"/>
      <c r="F71" s="158"/>
      <c r="G71" s="158"/>
      <c r="H71" s="158"/>
      <c r="I71" s="159">
        <f>SUBTOTAL(109,Engineering68818611[Column7])</f>
        <v>0</v>
      </c>
      <c r="J71" s="158">
        <f>SUBTOTAL(109,Engineering68818611[Column8])</f>
        <v>0</v>
      </c>
      <c r="K71" s="158">
        <f>SUBTOTAL(109,Engineering68818611[Column9])</f>
        <v>0</v>
      </c>
      <c r="L71" s="160">
        <f>IFERROR(J71/I71,0)</f>
        <v>0</v>
      </c>
      <c r="M71" s="159">
        <f>SUBTOTAL(109,Engineering68818611[Column11])</f>
        <v>0</v>
      </c>
      <c r="N71" s="158">
        <f>SUBTOTAL(109,Engineering68818611[Column12])</f>
        <v>0</v>
      </c>
      <c r="O71" s="158">
        <f>SUBTOTAL(109,Engineering68818611[Column13])</f>
        <v>0</v>
      </c>
      <c r="P71" s="43">
        <f>IFERROR(N71/M71,0)</f>
        <v>0</v>
      </c>
      <c r="Q71" s="161">
        <f>SUBTOTAL(109,Engineering68818611[Column15])</f>
        <v>0</v>
      </c>
      <c r="R71" s="162">
        <f>SUBTOTAL(109,Engineering68818611[Column16])</f>
        <v>0</v>
      </c>
      <c r="S71" s="163">
        <f>SUBTOTAL(109,Engineering68818611[Column17])</f>
        <v>0</v>
      </c>
      <c r="T71" s="42">
        <f t="shared" si="30"/>
        <v>0</v>
      </c>
    </row>
    <row r="72" spans="1:20" ht="16" thickBot="1"/>
    <row r="73" spans="1:20" ht="62">
      <c r="A73" s="270">
        <v>10</v>
      </c>
      <c r="B73" s="274" t="s">
        <v>18</v>
      </c>
      <c r="C73" s="166" t="s">
        <v>115</v>
      </c>
      <c r="D73" s="167"/>
      <c r="E73" s="168"/>
      <c r="F73" s="168"/>
      <c r="G73" s="167"/>
      <c r="H73" s="168"/>
      <c r="I73" s="179">
        <f>J73+K73</f>
        <v>0</v>
      </c>
      <c r="J73" s="168">
        <v>0</v>
      </c>
      <c r="K73" s="168">
        <v>0</v>
      </c>
      <c r="L73" s="180">
        <f>IFERROR(J73/I73,0)</f>
        <v>0</v>
      </c>
      <c r="M73" s="179">
        <f>N73+O73</f>
        <v>0</v>
      </c>
      <c r="N73" s="168">
        <v>0</v>
      </c>
      <c r="O73" s="168">
        <v>0</v>
      </c>
      <c r="P73" s="180">
        <f>IFERROR(N73/M73,0)</f>
        <v>0</v>
      </c>
      <c r="Q73" s="181">
        <f>R73+S73</f>
        <v>0</v>
      </c>
      <c r="R73" s="182">
        <v>0</v>
      </c>
      <c r="S73" s="183">
        <f>'#1'!S50</f>
        <v>0</v>
      </c>
      <c r="T73" s="184">
        <f t="shared" ref="T73:T78" si="31">IFERROR(R73/Q73,0)</f>
        <v>0</v>
      </c>
    </row>
    <row r="74" spans="1:20">
      <c r="A74" s="271"/>
      <c r="B74" s="275"/>
      <c r="C74" s="175"/>
      <c r="D74" s="176"/>
      <c r="E74" s="151"/>
      <c r="F74" s="151"/>
      <c r="G74" s="176"/>
      <c r="H74" s="151"/>
      <c r="I74" s="152">
        <f>J76+K76</f>
        <v>0</v>
      </c>
      <c r="J74" s="151">
        <f>'#1'!J49</f>
        <v>0</v>
      </c>
      <c r="K74" s="151">
        <f>'#1'!K49</f>
        <v>0</v>
      </c>
      <c r="L74" s="153">
        <f>IFERROR(J76/I76,0)</f>
        <v>0</v>
      </c>
      <c r="M74" s="152">
        <f>N76+O76</f>
        <v>0</v>
      </c>
      <c r="N74" s="151">
        <f>'#1'!N49</f>
        <v>0</v>
      </c>
      <c r="O74" s="151">
        <f>'#1'!O49</f>
        <v>0</v>
      </c>
      <c r="P74" s="153">
        <f>IFERROR(N76/M76,0)</f>
        <v>0</v>
      </c>
      <c r="Q74" s="178">
        <f>R76+S76</f>
        <v>0</v>
      </c>
      <c r="R74" s="154">
        <f>'#1'!R49</f>
        <v>0</v>
      </c>
      <c r="S74" s="185">
        <f>'#1'!S49</f>
        <v>0</v>
      </c>
      <c r="T74" s="186">
        <f t="shared" si="31"/>
        <v>0</v>
      </c>
    </row>
    <row r="75" spans="1:20">
      <c r="A75" s="271"/>
      <c r="B75" s="275"/>
      <c r="C75" s="175"/>
      <c r="D75" s="176"/>
      <c r="E75" s="151"/>
      <c r="F75" s="151"/>
      <c r="G75" s="176"/>
      <c r="H75" s="151"/>
      <c r="I75" s="152">
        <f>J75+K75</f>
        <v>0</v>
      </c>
      <c r="J75" s="151">
        <v>0</v>
      </c>
      <c r="K75" s="151">
        <v>0</v>
      </c>
      <c r="L75" s="153">
        <f>IFERROR(J75/I75,0)</f>
        <v>0</v>
      </c>
      <c r="M75" s="152">
        <f>N75+O75</f>
        <v>0</v>
      </c>
      <c r="N75" s="151">
        <v>0</v>
      </c>
      <c r="O75" s="151">
        <f>'#1'!O49</f>
        <v>0</v>
      </c>
      <c r="P75" s="153">
        <f>IFERROR(N75/M75,0)</f>
        <v>0</v>
      </c>
      <c r="Q75" s="178">
        <f>R75+S75</f>
        <v>0</v>
      </c>
      <c r="R75" s="154">
        <v>0</v>
      </c>
      <c r="S75" s="185">
        <f>'#1'!S49</f>
        <v>0</v>
      </c>
      <c r="T75" s="186">
        <f t="shared" si="31"/>
        <v>0</v>
      </c>
    </row>
    <row r="76" spans="1:20">
      <c r="A76" s="271"/>
      <c r="B76" s="275"/>
      <c r="C76" s="175"/>
      <c r="D76" s="176"/>
      <c r="E76" s="151"/>
      <c r="F76" s="151"/>
      <c r="G76" s="176"/>
      <c r="H76" s="151"/>
      <c r="I76" s="152">
        <f>J76+K76</f>
        <v>0</v>
      </c>
      <c r="J76" s="151">
        <f>'#1'!J50</f>
        <v>0</v>
      </c>
      <c r="K76" s="151">
        <f>'#1'!K50</f>
        <v>0</v>
      </c>
      <c r="L76" s="153">
        <f>IFERROR(J76/I76,0)</f>
        <v>0</v>
      </c>
      <c r="M76" s="152">
        <f>N76+O76</f>
        <v>0</v>
      </c>
      <c r="N76" s="151">
        <f>'#1'!N50</f>
        <v>0</v>
      </c>
      <c r="O76" s="151">
        <f>'#1'!O50</f>
        <v>0</v>
      </c>
      <c r="P76" s="153">
        <f>IFERROR(N76/M76,0)</f>
        <v>0</v>
      </c>
      <c r="Q76" s="178">
        <f>R76+S76</f>
        <v>0</v>
      </c>
      <c r="R76" s="154">
        <f>'#1'!R50</f>
        <v>0</v>
      </c>
      <c r="S76" s="185">
        <f>'#1'!S50</f>
        <v>0</v>
      </c>
      <c r="T76" s="186">
        <f t="shared" si="31"/>
        <v>0</v>
      </c>
    </row>
    <row r="77" spans="1:20" ht="16" thickBot="1">
      <c r="A77" s="272"/>
      <c r="B77" s="276"/>
      <c r="C77" s="175"/>
      <c r="D77" s="176"/>
      <c r="E77" s="151"/>
      <c r="F77" s="151"/>
      <c r="G77" s="176"/>
      <c r="H77" s="151"/>
      <c r="I77" s="152">
        <f>J77+K77</f>
        <v>0</v>
      </c>
      <c r="J77" s="151">
        <f>'#1'!J49</f>
        <v>0</v>
      </c>
      <c r="K77" s="151">
        <f>'#1'!K49</f>
        <v>0</v>
      </c>
      <c r="L77" s="153">
        <f>IFERROR(J77/I77,0)</f>
        <v>0</v>
      </c>
      <c r="M77" s="152">
        <f>N77+O77</f>
        <v>0</v>
      </c>
      <c r="N77" s="151">
        <f>'#1'!N49</f>
        <v>0</v>
      </c>
      <c r="O77" s="151">
        <f>'#1'!O49</f>
        <v>0</v>
      </c>
      <c r="P77" s="153">
        <f>IFERROR(N77/M77,0)</f>
        <v>0</v>
      </c>
      <c r="Q77" s="178">
        <f>R77+S77</f>
        <v>0</v>
      </c>
      <c r="R77" s="154">
        <f>'#1'!R49</f>
        <v>0</v>
      </c>
      <c r="S77" s="185">
        <f>'#1'!S49</f>
        <v>0</v>
      </c>
      <c r="T77" s="186">
        <f t="shared" si="31"/>
        <v>0</v>
      </c>
    </row>
    <row r="78" spans="1:20" ht="19" thickTop="1" thickBot="1">
      <c r="A78" s="165"/>
      <c r="B78" s="156" t="s">
        <v>59</v>
      </c>
      <c r="C78" s="157"/>
      <c r="D78" s="158"/>
      <c r="E78" s="158"/>
      <c r="F78" s="158"/>
      <c r="G78" s="158"/>
      <c r="H78" s="158"/>
      <c r="I78" s="159">
        <f>SUBTOTAL(109,Engineering68818712[Column7])</f>
        <v>0</v>
      </c>
      <c r="J78" s="158">
        <f>SUBTOTAL(109,Engineering68818712[Column8])</f>
        <v>0</v>
      </c>
      <c r="K78" s="158">
        <f>SUBTOTAL(109,Engineering68818712[Column9])</f>
        <v>0</v>
      </c>
      <c r="L78" s="160">
        <f>IFERROR(J78/I78,0)</f>
        <v>0</v>
      </c>
      <c r="M78" s="159">
        <f>SUBTOTAL(109,Engineering68818712[Column11])</f>
        <v>0</v>
      </c>
      <c r="N78" s="158">
        <f>SUBTOTAL(109,Engineering68818712[Column12])</f>
        <v>0</v>
      </c>
      <c r="O78" s="158">
        <f>SUBTOTAL(109,Engineering68818712[Column13])</f>
        <v>0</v>
      </c>
      <c r="P78" s="43">
        <f>IFERROR(N78/M78,0)</f>
        <v>0</v>
      </c>
      <c r="Q78" s="161">
        <f>SUBTOTAL(109,Engineering68818712[Column15])</f>
        <v>0</v>
      </c>
      <c r="R78" s="162">
        <f>SUBTOTAL(109,Engineering68818712[Column16])</f>
        <v>0</v>
      </c>
      <c r="S78" s="163">
        <f>SUBTOTAL(109,Engineering68818712[Column17])</f>
        <v>0</v>
      </c>
      <c r="T78" s="42">
        <f t="shared" si="31"/>
        <v>0</v>
      </c>
    </row>
    <row r="79" spans="1:20" ht="16" thickBot="1"/>
    <row r="80" spans="1:20" ht="62">
      <c r="A80" s="270">
        <v>11</v>
      </c>
      <c r="B80" s="274" t="s">
        <v>19</v>
      </c>
      <c r="C80" s="166" t="s">
        <v>113</v>
      </c>
      <c r="D80" s="167"/>
      <c r="E80" s="168"/>
      <c r="F80" s="168"/>
      <c r="G80" s="167"/>
      <c r="H80" s="168"/>
      <c r="I80" s="179">
        <f>J80+K80</f>
        <v>0</v>
      </c>
      <c r="J80" s="168">
        <v>0</v>
      </c>
      <c r="K80" s="168">
        <v>0</v>
      </c>
      <c r="L80" s="180">
        <f>IFERROR(J80/I80,0)</f>
        <v>0</v>
      </c>
      <c r="M80" s="179">
        <f>N80+O80</f>
        <v>0</v>
      </c>
      <c r="N80" s="168">
        <v>0</v>
      </c>
      <c r="O80" s="168">
        <v>0</v>
      </c>
      <c r="P80" s="180">
        <f>IFERROR(N80/M80,0)</f>
        <v>0</v>
      </c>
      <c r="Q80" s="181">
        <f>R80+S80</f>
        <v>0</v>
      </c>
      <c r="R80" s="182">
        <v>0</v>
      </c>
      <c r="S80" s="183">
        <f>'#1'!S57</f>
        <v>0</v>
      </c>
      <c r="T80" s="184">
        <f t="shared" ref="T80:T85" si="32">IFERROR(R80/Q80,0)</f>
        <v>0</v>
      </c>
    </row>
    <row r="81" spans="1:20">
      <c r="A81" s="271"/>
      <c r="B81" s="275"/>
      <c r="C81" s="175"/>
      <c r="D81" s="176"/>
      <c r="E81" s="151"/>
      <c r="F81" s="151"/>
      <c r="G81" s="176"/>
      <c r="H81" s="151"/>
      <c r="I81" s="152">
        <f>J83+K83</f>
        <v>0</v>
      </c>
      <c r="J81" s="151">
        <f>'#1'!J56</f>
        <v>0</v>
      </c>
      <c r="K81" s="151">
        <f>'#1'!K56</f>
        <v>0</v>
      </c>
      <c r="L81" s="153">
        <f>IFERROR(J83/I83,0)</f>
        <v>0</v>
      </c>
      <c r="M81" s="152">
        <f>N83+O83</f>
        <v>0</v>
      </c>
      <c r="N81" s="151">
        <f>'#1'!N56</f>
        <v>0</v>
      </c>
      <c r="O81" s="151">
        <f>'#1'!O56</f>
        <v>0</v>
      </c>
      <c r="P81" s="153">
        <f>IFERROR(N83/M83,0)</f>
        <v>0</v>
      </c>
      <c r="Q81" s="178">
        <f>R83+S83</f>
        <v>0</v>
      </c>
      <c r="R81" s="154">
        <f>'#1'!R56</f>
        <v>0</v>
      </c>
      <c r="S81" s="185">
        <f>'#1'!S56</f>
        <v>0</v>
      </c>
      <c r="T81" s="186">
        <f t="shared" si="32"/>
        <v>0</v>
      </c>
    </row>
    <row r="82" spans="1:20">
      <c r="A82" s="271"/>
      <c r="B82" s="275"/>
      <c r="C82" s="175"/>
      <c r="D82" s="176"/>
      <c r="E82" s="151"/>
      <c r="F82" s="151"/>
      <c r="G82" s="176"/>
      <c r="H82" s="151"/>
      <c r="I82" s="152">
        <f>J82+K82</f>
        <v>0</v>
      </c>
      <c r="J82" s="151">
        <v>0</v>
      </c>
      <c r="K82" s="151">
        <v>0</v>
      </c>
      <c r="L82" s="153">
        <f>IFERROR(J82/I82,0)</f>
        <v>0</v>
      </c>
      <c r="M82" s="152">
        <f>N82+O82</f>
        <v>0</v>
      </c>
      <c r="N82" s="151">
        <v>0</v>
      </c>
      <c r="O82" s="151">
        <f>'#1'!O56</f>
        <v>0</v>
      </c>
      <c r="P82" s="153">
        <f>IFERROR(N82/M82,0)</f>
        <v>0</v>
      </c>
      <c r="Q82" s="178">
        <f>R82+S82</f>
        <v>0</v>
      </c>
      <c r="R82" s="154">
        <v>0</v>
      </c>
      <c r="S82" s="185">
        <f>'#1'!S56</f>
        <v>0</v>
      </c>
      <c r="T82" s="186">
        <f t="shared" si="32"/>
        <v>0</v>
      </c>
    </row>
    <row r="83" spans="1:20">
      <c r="A83" s="271"/>
      <c r="B83" s="275"/>
      <c r="C83" s="175"/>
      <c r="D83" s="176"/>
      <c r="E83" s="151"/>
      <c r="F83" s="151"/>
      <c r="G83" s="176"/>
      <c r="H83" s="151"/>
      <c r="I83" s="152">
        <f>J83+K83</f>
        <v>0</v>
      </c>
      <c r="J83" s="151">
        <f>'#1'!J57</f>
        <v>0</v>
      </c>
      <c r="K83" s="151">
        <f>'#1'!K57</f>
        <v>0</v>
      </c>
      <c r="L83" s="153">
        <f>IFERROR(J83/I83,0)</f>
        <v>0</v>
      </c>
      <c r="M83" s="152">
        <f>N83+O83</f>
        <v>0</v>
      </c>
      <c r="N83" s="151">
        <f>'#1'!N57</f>
        <v>0</v>
      </c>
      <c r="O83" s="151">
        <f>'#1'!O57</f>
        <v>0</v>
      </c>
      <c r="P83" s="153">
        <f>IFERROR(N83/M83,0)</f>
        <v>0</v>
      </c>
      <c r="Q83" s="178">
        <f>R83+S83</f>
        <v>0</v>
      </c>
      <c r="R83" s="154">
        <f>'#1'!R57</f>
        <v>0</v>
      </c>
      <c r="S83" s="185">
        <f>'#1'!S57</f>
        <v>0</v>
      </c>
      <c r="T83" s="186">
        <f t="shared" si="32"/>
        <v>0</v>
      </c>
    </row>
    <row r="84" spans="1:20" ht="16" thickBot="1">
      <c r="A84" s="272"/>
      <c r="B84" s="276"/>
      <c r="C84" s="175"/>
      <c r="D84" s="176"/>
      <c r="E84" s="151"/>
      <c r="F84" s="151"/>
      <c r="G84" s="176"/>
      <c r="H84" s="151"/>
      <c r="I84" s="152">
        <f>J84+K84</f>
        <v>0</v>
      </c>
      <c r="J84" s="151">
        <f>'#1'!J56</f>
        <v>0</v>
      </c>
      <c r="K84" s="151">
        <f>'#1'!K56</f>
        <v>0</v>
      </c>
      <c r="L84" s="153">
        <f>IFERROR(J84/I84,0)</f>
        <v>0</v>
      </c>
      <c r="M84" s="152">
        <f>N84+O84</f>
        <v>0</v>
      </c>
      <c r="N84" s="151">
        <f>'#1'!N56</f>
        <v>0</v>
      </c>
      <c r="O84" s="151">
        <f>'#1'!O56</f>
        <v>0</v>
      </c>
      <c r="P84" s="153">
        <f>IFERROR(N84/M84,0)</f>
        <v>0</v>
      </c>
      <c r="Q84" s="178">
        <f>R84+S84</f>
        <v>0</v>
      </c>
      <c r="R84" s="154">
        <f>'#1'!R56</f>
        <v>0</v>
      </c>
      <c r="S84" s="185">
        <f>'#1'!S56</f>
        <v>0</v>
      </c>
      <c r="T84" s="186">
        <f t="shared" si="32"/>
        <v>0</v>
      </c>
    </row>
    <row r="85" spans="1:20" ht="19" thickTop="1" thickBot="1">
      <c r="A85" s="165"/>
      <c r="B85" s="156" t="s">
        <v>59</v>
      </c>
      <c r="C85" s="157"/>
      <c r="D85" s="158"/>
      <c r="E85" s="158"/>
      <c r="F85" s="158"/>
      <c r="G85" s="158"/>
      <c r="H85" s="158"/>
      <c r="I85" s="159">
        <f>SUBTOTAL(109,Engineering68818813[Column7])</f>
        <v>0</v>
      </c>
      <c r="J85" s="158">
        <f>SUBTOTAL(109,Engineering68818813[Column8])</f>
        <v>0</v>
      </c>
      <c r="K85" s="158">
        <f>SUBTOTAL(109,Engineering68818813[Column9])</f>
        <v>0</v>
      </c>
      <c r="L85" s="160">
        <f>IFERROR(J85/I85,0)</f>
        <v>0</v>
      </c>
      <c r="M85" s="159">
        <f>SUBTOTAL(109,Engineering68818813[Column11])</f>
        <v>0</v>
      </c>
      <c r="N85" s="158">
        <f>SUBTOTAL(109,Engineering68818813[Column12])</f>
        <v>0</v>
      </c>
      <c r="O85" s="158">
        <f>SUBTOTAL(109,Engineering68818813[Column13])</f>
        <v>0</v>
      </c>
      <c r="P85" s="43">
        <f>IFERROR(N85/M85,0)</f>
        <v>0</v>
      </c>
      <c r="Q85" s="161">
        <f>SUBTOTAL(109,Engineering68818813[Column15])</f>
        <v>0</v>
      </c>
      <c r="R85" s="162">
        <f>SUBTOTAL(109,Engineering68818813[Column16])</f>
        <v>0</v>
      </c>
      <c r="S85" s="163">
        <f>SUBTOTAL(109,Engineering68818813[Column17])</f>
        <v>0</v>
      </c>
      <c r="T85" s="42">
        <f t="shared" si="32"/>
        <v>0</v>
      </c>
    </row>
    <row r="86" spans="1:20" ht="16" thickBot="1"/>
    <row r="87" spans="1:20" ht="62">
      <c r="A87" s="270">
        <v>12</v>
      </c>
      <c r="B87" s="274" t="s">
        <v>20</v>
      </c>
      <c r="C87" s="166" t="s">
        <v>116</v>
      </c>
      <c r="D87" s="167"/>
      <c r="E87" s="168"/>
      <c r="F87" s="168"/>
      <c r="G87" s="167"/>
      <c r="H87" s="168"/>
      <c r="I87" s="179">
        <f>J87+K87</f>
        <v>0</v>
      </c>
      <c r="J87" s="168">
        <v>0</v>
      </c>
      <c r="K87" s="168">
        <v>0</v>
      </c>
      <c r="L87" s="180">
        <f>IFERROR(J87/I87,0)</f>
        <v>0</v>
      </c>
      <c r="M87" s="179">
        <f>N87+O87</f>
        <v>0</v>
      </c>
      <c r="N87" s="168">
        <v>0</v>
      </c>
      <c r="O87" s="168">
        <v>0</v>
      </c>
      <c r="P87" s="180">
        <f>IFERROR(N87/M87,0)</f>
        <v>0</v>
      </c>
      <c r="Q87" s="181">
        <f>R87+S87</f>
        <v>0</v>
      </c>
      <c r="R87" s="182">
        <v>0</v>
      </c>
      <c r="S87" s="183">
        <f>'#1'!S64</f>
        <v>0</v>
      </c>
      <c r="T87" s="184">
        <f t="shared" ref="T87:T92" si="33">IFERROR(R87/Q87,0)</f>
        <v>0</v>
      </c>
    </row>
    <row r="88" spans="1:20">
      <c r="A88" s="271"/>
      <c r="B88" s="275"/>
      <c r="C88" s="175"/>
      <c r="D88" s="176"/>
      <c r="E88" s="151"/>
      <c r="F88" s="151"/>
      <c r="G88" s="176"/>
      <c r="H88" s="151"/>
      <c r="I88" s="152">
        <f>J90+K90</f>
        <v>0</v>
      </c>
      <c r="J88" s="151">
        <f>'#1'!J63</f>
        <v>0</v>
      </c>
      <c r="K88" s="151">
        <f>'#1'!K63</f>
        <v>0</v>
      </c>
      <c r="L88" s="153">
        <f>IFERROR(J90/I90,0)</f>
        <v>0</v>
      </c>
      <c r="M88" s="152">
        <f>N90+O90</f>
        <v>0</v>
      </c>
      <c r="N88" s="151">
        <f>'#1'!N63</f>
        <v>0</v>
      </c>
      <c r="O88" s="151">
        <f>'#1'!O63</f>
        <v>0</v>
      </c>
      <c r="P88" s="153">
        <f>IFERROR(N90/M90,0)</f>
        <v>0</v>
      </c>
      <c r="Q88" s="178">
        <f>R90+S90</f>
        <v>0</v>
      </c>
      <c r="R88" s="154">
        <f>'#1'!R63</f>
        <v>0</v>
      </c>
      <c r="S88" s="185">
        <f>'#1'!S63</f>
        <v>0</v>
      </c>
      <c r="T88" s="186">
        <f t="shared" si="33"/>
        <v>0</v>
      </c>
    </row>
    <row r="89" spans="1:20">
      <c r="A89" s="271"/>
      <c r="B89" s="275"/>
      <c r="C89" s="175"/>
      <c r="D89" s="176"/>
      <c r="E89" s="151"/>
      <c r="F89" s="151"/>
      <c r="G89" s="176"/>
      <c r="H89" s="151"/>
      <c r="I89" s="152">
        <f>J89+K89</f>
        <v>0</v>
      </c>
      <c r="J89" s="151">
        <v>0</v>
      </c>
      <c r="K89" s="151">
        <v>0</v>
      </c>
      <c r="L89" s="153">
        <f>IFERROR(J89/I89,0)</f>
        <v>0</v>
      </c>
      <c r="M89" s="152">
        <f>N89+O89</f>
        <v>0</v>
      </c>
      <c r="N89" s="151">
        <v>0</v>
      </c>
      <c r="O89" s="151">
        <f>'#1'!O63</f>
        <v>0</v>
      </c>
      <c r="P89" s="153">
        <f>IFERROR(N89/M89,0)</f>
        <v>0</v>
      </c>
      <c r="Q89" s="178">
        <f>R89+S89</f>
        <v>0</v>
      </c>
      <c r="R89" s="154">
        <v>0</v>
      </c>
      <c r="S89" s="185">
        <f>'#1'!S63</f>
        <v>0</v>
      </c>
      <c r="T89" s="186">
        <f t="shared" si="33"/>
        <v>0</v>
      </c>
    </row>
    <row r="90" spans="1:20">
      <c r="A90" s="271"/>
      <c r="B90" s="275"/>
      <c r="C90" s="175"/>
      <c r="D90" s="176"/>
      <c r="E90" s="151"/>
      <c r="F90" s="151"/>
      <c r="G90" s="176"/>
      <c r="H90" s="151"/>
      <c r="I90" s="152">
        <f>J90+K90</f>
        <v>0</v>
      </c>
      <c r="J90" s="151">
        <f>'#1'!J64</f>
        <v>0</v>
      </c>
      <c r="K90" s="151">
        <f>'#1'!K64</f>
        <v>0</v>
      </c>
      <c r="L90" s="153">
        <f>IFERROR(J90/I90,0)</f>
        <v>0</v>
      </c>
      <c r="M90" s="152">
        <f>N90+O90</f>
        <v>0</v>
      </c>
      <c r="N90" s="151">
        <f>'#1'!N64</f>
        <v>0</v>
      </c>
      <c r="O90" s="151">
        <f>'#1'!O64</f>
        <v>0</v>
      </c>
      <c r="P90" s="153">
        <f>IFERROR(N90/M90,0)</f>
        <v>0</v>
      </c>
      <c r="Q90" s="178">
        <f>R90+S90</f>
        <v>0</v>
      </c>
      <c r="R90" s="154">
        <f>'#1'!R64</f>
        <v>0</v>
      </c>
      <c r="S90" s="185">
        <f>'#1'!S64</f>
        <v>0</v>
      </c>
      <c r="T90" s="186">
        <f t="shared" si="33"/>
        <v>0</v>
      </c>
    </row>
    <row r="91" spans="1:20" ht="16" thickBot="1">
      <c r="A91" s="272"/>
      <c r="B91" s="276"/>
      <c r="C91" s="175"/>
      <c r="D91" s="176"/>
      <c r="E91" s="151"/>
      <c r="F91" s="151"/>
      <c r="G91" s="176"/>
      <c r="H91" s="151"/>
      <c r="I91" s="152">
        <f>J91+K91</f>
        <v>0</v>
      </c>
      <c r="J91" s="151">
        <f>'#1'!J63</f>
        <v>0</v>
      </c>
      <c r="K91" s="151">
        <f>'#1'!K63</f>
        <v>0</v>
      </c>
      <c r="L91" s="153">
        <f>IFERROR(J91/I91,0)</f>
        <v>0</v>
      </c>
      <c r="M91" s="152">
        <f>N91+O91</f>
        <v>0</v>
      </c>
      <c r="N91" s="151">
        <f>'#1'!N63</f>
        <v>0</v>
      </c>
      <c r="O91" s="151">
        <f>'#1'!O63</f>
        <v>0</v>
      </c>
      <c r="P91" s="153">
        <f>IFERROR(N91/M91,0)</f>
        <v>0</v>
      </c>
      <c r="Q91" s="178">
        <f>R91+S91</f>
        <v>0</v>
      </c>
      <c r="R91" s="154">
        <f>'#1'!R63</f>
        <v>0</v>
      </c>
      <c r="S91" s="185">
        <f>'#1'!S63</f>
        <v>0</v>
      </c>
      <c r="T91" s="186">
        <f t="shared" si="33"/>
        <v>0</v>
      </c>
    </row>
    <row r="92" spans="1:20" ht="19" thickTop="1" thickBot="1">
      <c r="A92" s="165"/>
      <c r="B92" s="156" t="s">
        <v>59</v>
      </c>
      <c r="C92" s="157"/>
      <c r="D92" s="158"/>
      <c r="E92" s="158"/>
      <c r="F92" s="158"/>
      <c r="G92" s="158"/>
      <c r="H92" s="158"/>
      <c r="I92" s="159">
        <f>SUBTOTAL(109,Engineering6881888914[Column7])</f>
        <v>0</v>
      </c>
      <c r="J92" s="158">
        <f>SUBTOTAL(109,Engineering6881888914[Column8])</f>
        <v>0</v>
      </c>
      <c r="K92" s="158">
        <f>SUBTOTAL(109,Engineering6881888914[Column9])</f>
        <v>0</v>
      </c>
      <c r="L92" s="160">
        <f>IFERROR(J92/I92,0)</f>
        <v>0</v>
      </c>
      <c r="M92" s="159">
        <f>SUBTOTAL(109,Engineering6881888914[Column11])</f>
        <v>0</v>
      </c>
      <c r="N92" s="158">
        <f>SUBTOTAL(109,Engineering6881888914[Column12])</f>
        <v>0</v>
      </c>
      <c r="O92" s="158">
        <f>SUBTOTAL(109,Engineering6881888914[Column13])</f>
        <v>0</v>
      </c>
      <c r="P92" s="43">
        <f>IFERROR(N92/M92,0)</f>
        <v>0</v>
      </c>
      <c r="Q92" s="161">
        <f>SUBTOTAL(109,Engineering6881888914[Column15])</f>
        <v>0</v>
      </c>
      <c r="R92" s="162">
        <f>SUBTOTAL(109,Engineering6881888914[Column16])</f>
        <v>0</v>
      </c>
      <c r="S92" s="163">
        <f>SUBTOTAL(109,Engineering6881888914[Column17])</f>
        <v>0</v>
      </c>
      <c r="T92" s="42">
        <f t="shared" si="33"/>
        <v>0</v>
      </c>
    </row>
    <row r="93" spans="1:20" ht="16" thickBot="1"/>
    <row r="94" spans="1:20" ht="62">
      <c r="A94" s="270">
        <v>13</v>
      </c>
      <c r="B94" s="274" t="s">
        <v>21</v>
      </c>
      <c r="C94" s="166" t="s">
        <v>116</v>
      </c>
      <c r="D94" s="167"/>
      <c r="E94" s="167"/>
      <c r="F94" s="168"/>
      <c r="G94" s="167"/>
      <c r="H94" s="168"/>
      <c r="I94" s="179">
        <f>J94+K94</f>
        <v>0</v>
      </c>
      <c r="J94" s="168">
        <v>0</v>
      </c>
      <c r="K94" s="168">
        <v>0</v>
      </c>
      <c r="L94" s="180">
        <f>IFERROR(J94/I94,0)</f>
        <v>0</v>
      </c>
      <c r="M94" s="179">
        <f>N94+O94</f>
        <v>0</v>
      </c>
      <c r="N94" s="168">
        <v>0</v>
      </c>
      <c r="O94" s="168">
        <v>0</v>
      </c>
      <c r="P94" s="180">
        <f>IFERROR(N94/M94,0)</f>
        <v>0</v>
      </c>
      <c r="Q94" s="181">
        <f>R94+S94</f>
        <v>0</v>
      </c>
      <c r="R94" s="182">
        <v>0</v>
      </c>
      <c r="S94" s="183">
        <f>'#1'!S71</f>
        <v>0</v>
      </c>
      <c r="T94" s="184">
        <f t="shared" ref="T94:T99" si="34">IFERROR(R94/Q94,0)</f>
        <v>0</v>
      </c>
    </row>
    <row r="95" spans="1:20">
      <c r="A95" s="271"/>
      <c r="B95" s="275"/>
      <c r="C95" s="175"/>
      <c r="D95" s="176"/>
      <c r="E95" s="151"/>
      <c r="F95" s="151"/>
      <c r="G95" s="176"/>
      <c r="H95" s="151"/>
      <c r="I95" s="152">
        <f>J97+K97</f>
        <v>0</v>
      </c>
      <c r="J95" s="151">
        <f>'#1'!J70</f>
        <v>0</v>
      </c>
      <c r="K95" s="151">
        <f>'#1'!K70</f>
        <v>0</v>
      </c>
      <c r="L95" s="153">
        <f>IFERROR(J97/I97,0)</f>
        <v>0</v>
      </c>
      <c r="M95" s="152">
        <f>N97+O97</f>
        <v>0</v>
      </c>
      <c r="N95" s="151">
        <f>'#1'!N70</f>
        <v>0</v>
      </c>
      <c r="O95" s="151">
        <f>'#1'!O70</f>
        <v>0</v>
      </c>
      <c r="P95" s="153">
        <f>IFERROR(N97/M97,0)</f>
        <v>0</v>
      </c>
      <c r="Q95" s="178">
        <f>R97+S97</f>
        <v>0</v>
      </c>
      <c r="R95" s="154">
        <f>'#1'!R70</f>
        <v>0</v>
      </c>
      <c r="S95" s="185">
        <f>'#1'!S70</f>
        <v>0</v>
      </c>
      <c r="T95" s="186">
        <f t="shared" si="34"/>
        <v>0</v>
      </c>
    </row>
    <row r="96" spans="1:20">
      <c r="A96" s="271"/>
      <c r="B96" s="275"/>
      <c r="C96" s="175"/>
      <c r="D96" s="176"/>
      <c r="E96" s="151"/>
      <c r="F96" s="151"/>
      <c r="G96" s="176"/>
      <c r="H96" s="151"/>
      <c r="I96" s="152">
        <f>J96+K96</f>
        <v>0</v>
      </c>
      <c r="J96" s="151">
        <v>0</v>
      </c>
      <c r="K96" s="151">
        <v>0</v>
      </c>
      <c r="L96" s="153">
        <f>IFERROR(J96/I96,0)</f>
        <v>0</v>
      </c>
      <c r="M96" s="152">
        <f>N96+O96</f>
        <v>0</v>
      </c>
      <c r="N96" s="151">
        <v>0</v>
      </c>
      <c r="O96" s="151">
        <f>'#1'!O70</f>
        <v>0</v>
      </c>
      <c r="P96" s="153">
        <f>IFERROR(N96/M96,0)</f>
        <v>0</v>
      </c>
      <c r="Q96" s="178">
        <f>R96+S96</f>
        <v>0</v>
      </c>
      <c r="R96" s="154">
        <v>0</v>
      </c>
      <c r="S96" s="185">
        <f>'#1'!S70</f>
        <v>0</v>
      </c>
      <c r="T96" s="186">
        <f t="shared" si="34"/>
        <v>0</v>
      </c>
    </row>
    <row r="97" spans="1:20">
      <c r="A97" s="271"/>
      <c r="B97" s="275"/>
      <c r="C97" s="175"/>
      <c r="D97" s="176"/>
      <c r="E97" s="151"/>
      <c r="F97" s="151"/>
      <c r="G97" s="176"/>
      <c r="H97" s="151"/>
      <c r="I97" s="152">
        <f>J97+K97</f>
        <v>0</v>
      </c>
      <c r="J97" s="151">
        <f>'#1'!J71</f>
        <v>0</v>
      </c>
      <c r="K97" s="151">
        <f>'#1'!K71</f>
        <v>0</v>
      </c>
      <c r="L97" s="153">
        <f>IFERROR(J97/I97,0)</f>
        <v>0</v>
      </c>
      <c r="M97" s="152">
        <f>N97+O97</f>
        <v>0</v>
      </c>
      <c r="N97" s="151">
        <f>'#1'!N71</f>
        <v>0</v>
      </c>
      <c r="O97" s="151">
        <f>'#1'!O71</f>
        <v>0</v>
      </c>
      <c r="P97" s="153">
        <f>IFERROR(N97/M97,0)</f>
        <v>0</v>
      </c>
      <c r="Q97" s="178">
        <f>R97+S97</f>
        <v>0</v>
      </c>
      <c r="R97" s="154">
        <f>'#1'!R71</f>
        <v>0</v>
      </c>
      <c r="S97" s="185">
        <f>'#1'!S71</f>
        <v>0</v>
      </c>
      <c r="T97" s="186">
        <f t="shared" si="34"/>
        <v>0</v>
      </c>
    </row>
    <row r="98" spans="1:20" ht="16" thickBot="1">
      <c r="A98" s="272"/>
      <c r="B98" s="276"/>
      <c r="C98" s="175"/>
      <c r="D98" s="176"/>
      <c r="E98" s="151"/>
      <c r="F98" s="151"/>
      <c r="G98" s="176"/>
      <c r="H98" s="151"/>
      <c r="I98" s="152">
        <f>J98+K98</f>
        <v>0</v>
      </c>
      <c r="J98" s="151">
        <f>'#1'!J70</f>
        <v>0</v>
      </c>
      <c r="K98" s="151">
        <f>'#1'!K70</f>
        <v>0</v>
      </c>
      <c r="L98" s="153">
        <f>IFERROR(J98/I98,0)</f>
        <v>0</v>
      </c>
      <c r="M98" s="152">
        <f>N98+O98</f>
        <v>0</v>
      </c>
      <c r="N98" s="151">
        <f>'#1'!N70</f>
        <v>0</v>
      </c>
      <c r="O98" s="151">
        <f>'#1'!O70</f>
        <v>0</v>
      </c>
      <c r="P98" s="153">
        <f>IFERROR(N98/M98,0)</f>
        <v>0</v>
      </c>
      <c r="Q98" s="178">
        <f>R98+S98</f>
        <v>0</v>
      </c>
      <c r="R98" s="154">
        <f>'#1'!R70</f>
        <v>0</v>
      </c>
      <c r="S98" s="185">
        <f>'#1'!S70</f>
        <v>0</v>
      </c>
      <c r="T98" s="186">
        <f t="shared" si="34"/>
        <v>0</v>
      </c>
    </row>
    <row r="99" spans="1:20" ht="19" thickTop="1" thickBot="1">
      <c r="A99" s="165"/>
      <c r="B99" s="156" t="s">
        <v>59</v>
      </c>
      <c r="C99" s="157"/>
      <c r="D99" s="158"/>
      <c r="E99" s="158"/>
      <c r="F99" s="158"/>
      <c r="G99" s="158"/>
      <c r="H99" s="158"/>
      <c r="I99" s="159">
        <f>SUBTOTAL(109,Engineering6881889015[Column7])</f>
        <v>0</v>
      </c>
      <c r="J99" s="158">
        <f>SUBTOTAL(109,Engineering6881889015[Column8])</f>
        <v>0</v>
      </c>
      <c r="K99" s="158">
        <f>SUBTOTAL(109,Engineering6881889015[Column9])</f>
        <v>0</v>
      </c>
      <c r="L99" s="160">
        <f>IFERROR(J99/I99,0)</f>
        <v>0</v>
      </c>
      <c r="M99" s="159">
        <f>SUBTOTAL(109,Engineering6881889015[Column11])</f>
        <v>0</v>
      </c>
      <c r="N99" s="158">
        <f>SUBTOTAL(109,Engineering6881889015[Column12])</f>
        <v>0</v>
      </c>
      <c r="O99" s="158">
        <f>SUBTOTAL(109,Engineering6881889015[Column13])</f>
        <v>0</v>
      </c>
      <c r="P99" s="160">
        <f>IFERROR(N99/M99,0)</f>
        <v>0</v>
      </c>
      <c r="Q99" s="161">
        <f>SUBTOTAL(109,Engineering6881889015[Column15])</f>
        <v>0</v>
      </c>
      <c r="R99" s="162">
        <f>SUBTOTAL(109,Engineering6881889015[Column16])</f>
        <v>0</v>
      </c>
      <c r="S99" s="163">
        <f>SUBTOTAL(109,Engineering6881889015[Column17])</f>
        <v>0</v>
      </c>
      <c r="T99" s="42">
        <f t="shared" si="34"/>
        <v>0</v>
      </c>
    </row>
    <row r="100" spans="1:20" ht="16" thickBot="1"/>
    <row r="101" spans="1:20" ht="62">
      <c r="A101" s="270">
        <v>14</v>
      </c>
      <c r="B101" s="274" t="s">
        <v>22</v>
      </c>
      <c r="C101" s="166" t="s">
        <v>116</v>
      </c>
      <c r="D101" s="167"/>
      <c r="E101" s="168"/>
      <c r="F101" s="168"/>
      <c r="G101" s="167"/>
      <c r="H101" s="168"/>
      <c r="I101" s="179">
        <f>J101+K101</f>
        <v>0</v>
      </c>
      <c r="J101" s="168">
        <v>0</v>
      </c>
      <c r="K101" s="168">
        <v>0</v>
      </c>
      <c r="L101" s="180">
        <f>IFERROR(J101/I101,0)</f>
        <v>0</v>
      </c>
      <c r="M101" s="179">
        <f>N101+O101</f>
        <v>0</v>
      </c>
      <c r="N101" s="168">
        <v>0</v>
      </c>
      <c r="O101" s="168">
        <v>0</v>
      </c>
      <c r="P101" s="180">
        <f>IFERROR(N101/M101,0)</f>
        <v>0</v>
      </c>
      <c r="Q101" s="181">
        <f>R101+S101</f>
        <v>0</v>
      </c>
      <c r="R101" s="182">
        <v>0</v>
      </c>
      <c r="S101" s="183">
        <f>'#1'!S78</f>
        <v>0</v>
      </c>
      <c r="T101" s="184">
        <f t="shared" ref="T101:T106" si="35">IFERROR(R101/Q101,0)</f>
        <v>0</v>
      </c>
    </row>
    <row r="102" spans="1:20">
      <c r="A102" s="271"/>
      <c r="B102" s="275"/>
      <c r="C102" s="175"/>
      <c r="D102" s="176"/>
      <c r="E102" s="151"/>
      <c r="F102" s="151"/>
      <c r="G102" s="176"/>
      <c r="H102" s="151"/>
      <c r="I102" s="152">
        <f>J104+K104</f>
        <v>0</v>
      </c>
      <c r="J102" s="151">
        <f>'#1'!J77</f>
        <v>0</v>
      </c>
      <c r="K102" s="151">
        <f>'#1'!K77</f>
        <v>0</v>
      </c>
      <c r="L102" s="153">
        <f>IFERROR(J104/I104,0)</f>
        <v>0</v>
      </c>
      <c r="M102" s="152">
        <f>N104+O104</f>
        <v>0</v>
      </c>
      <c r="N102" s="151">
        <f>'#1'!N77</f>
        <v>0</v>
      </c>
      <c r="O102" s="151">
        <f>'#1'!O77</f>
        <v>0</v>
      </c>
      <c r="P102" s="153">
        <f>IFERROR(N104/M104,0)</f>
        <v>0</v>
      </c>
      <c r="Q102" s="178">
        <f>R104+S104</f>
        <v>0</v>
      </c>
      <c r="R102" s="154">
        <f>'#1'!R77</f>
        <v>0</v>
      </c>
      <c r="S102" s="185">
        <f>'#1'!S77</f>
        <v>0</v>
      </c>
      <c r="T102" s="186">
        <f t="shared" si="35"/>
        <v>0</v>
      </c>
    </row>
    <row r="103" spans="1:20">
      <c r="A103" s="271"/>
      <c r="B103" s="275"/>
      <c r="C103" s="175"/>
      <c r="D103" s="176"/>
      <c r="E103" s="151"/>
      <c r="F103" s="151"/>
      <c r="G103" s="176"/>
      <c r="H103" s="151"/>
      <c r="I103" s="152">
        <f>J103+K103</f>
        <v>0</v>
      </c>
      <c r="J103" s="151">
        <v>0</v>
      </c>
      <c r="K103" s="151">
        <v>0</v>
      </c>
      <c r="L103" s="153">
        <f>IFERROR(J103/I103,0)</f>
        <v>0</v>
      </c>
      <c r="M103" s="152">
        <f>N103+O103</f>
        <v>0</v>
      </c>
      <c r="N103" s="151">
        <v>0</v>
      </c>
      <c r="O103" s="151">
        <f>'#1'!O77</f>
        <v>0</v>
      </c>
      <c r="P103" s="153">
        <f>IFERROR(N103/M103,0)</f>
        <v>0</v>
      </c>
      <c r="Q103" s="178">
        <f>R103+S103</f>
        <v>0</v>
      </c>
      <c r="R103" s="154">
        <v>0</v>
      </c>
      <c r="S103" s="185">
        <f>'#1'!S77</f>
        <v>0</v>
      </c>
      <c r="T103" s="186">
        <f t="shared" si="35"/>
        <v>0</v>
      </c>
    </row>
    <row r="104" spans="1:20">
      <c r="A104" s="271"/>
      <c r="B104" s="275"/>
      <c r="C104" s="175"/>
      <c r="D104" s="176"/>
      <c r="E104" s="151"/>
      <c r="F104" s="151"/>
      <c r="G104" s="176"/>
      <c r="H104" s="151"/>
      <c r="I104" s="152">
        <f>J104+K104</f>
        <v>0</v>
      </c>
      <c r="J104" s="151">
        <f>'#1'!J78</f>
        <v>0</v>
      </c>
      <c r="K104" s="151">
        <f>'#1'!K78</f>
        <v>0</v>
      </c>
      <c r="L104" s="153">
        <f>IFERROR(J104/I104,0)</f>
        <v>0</v>
      </c>
      <c r="M104" s="152">
        <f>N104+O104</f>
        <v>0</v>
      </c>
      <c r="N104" s="151">
        <f>'#1'!N78</f>
        <v>0</v>
      </c>
      <c r="O104" s="151">
        <f>'#1'!O78</f>
        <v>0</v>
      </c>
      <c r="P104" s="153">
        <f>IFERROR(N104/M104,0)</f>
        <v>0</v>
      </c>
      <c r="Q104" s="178">
        <f>R104+S104</f>
        <v>0</v>
      </c>
      <c r="R104" s="154">
        <f>'#1'!R78</f>
        <v>0</v>
      </c>
      <c r="S104" s="185">
        <f>'#1'!S78</f>
        <v>0</v>
      </c>
      <c r="T104" s="186">
        <f t="shared" si="35"/>
        <v>0</v>
      </c>
    </row>
    <row r="105" spans="1:20" ht="16" thickBot="1">
      <c r="A105" s="272"/>
      <c r="B105" s="276"/>
      <c r="C105" s="175"/>
      <c r="D105" s="176"/>
      <c r="E105" s="151"/>
      <c r="F105" s="151"/>
      <c r="G105" s="176"/>
      <c r="H105" s="151"/>
      <c r="I105" s="152">
        <f>J105+K105</f>
        <v>0</v>
      </c>
      <c r="J105" s="151">
        <f>'#1'!J77</f>
        <v>0</v>
      </c>
      <c r="K105" s="151">
        <f>'#1'!K77</f>
        <v>0</v>
      </c>
      <c r="L105" s="153">
        <f>IFERROR(J105/I105,0)</f>
        <v>0</v>
      </c>
      <c r="M105" s="152">
        <f>N105+O105</f>
        <v>0</v>
      </c>
      <c r="N105" s="151">
        <f>'#1'!N77</f>
        <v>0</v>
      </c>
      <c r="O105" s="151">
        <f>'#1'!O77</f>
        <v>0</v>
      </c>
      <c r="P105" s="153">
        <f>IFERROR(N105/M105,0)</f>
        <v>0</v>
      </c>
      <c r="Q105" s="178">
        <f>R105+S105</f>
        <v>0</v>
      </c>
      <c r="R105" s="154">
        <f>'#1'!R77</f>
        <v>0</v>
      </c>
      <c r="S105" s="185">
        <f>'#1'!S77</f>
        <v>0</v>
      </c>
      <c r="T105" s="186">
        <f t="shared" si="35"/>
        <v>0</v>
      </c>
    </row>
    <row r="106" spans="1:20" ht="19" thickTop="1" thickBot="1">
      <c r="A106" s="165"/>
      <c r="B106" s="156" t="s">
        <v>59</v>
      </c>
      <c r="C106" s="157"/>
      <c r="D106" s="158"/>
      <c r="E106" s="158"/>
      <c r="F106" s="158"/>
      <c r="G106" s="158"/>
      <c r="H106" s="158"/>
      <c r="I106" s="159">
        <f>SUBTOTAL(109,Engineering6881889116[Column7])</f>
        <v>0</v>
      </c>
      <c r="J106" s="158">
        <f>SUBTOTAL(109,Engineering6881889116[Column8])</f>
        <v>0</v>
      </c>
      <c r="K106" s="158">
        <f>SUBTOTAL(109,Engineering6881889116[Column9])</f>
        <v>0</v>
      </c>
      <c r="L106" s="160">
        <f>IFERROR(J106/I106,0)</f>
        <v>0</v>
      </c>
      <c r="M106" s="159">
        <f>SUBTOTAL(109,Engineering6881889116[Column11])</f>
        <v>0</v>
      </c>
      <c r="N106" s="158">
        <f>SUBTOTAL(109,Engineering6881889116[Column12])</f>
        <v>0</v>
      </c>
      <c r="O106" s="158">
        <f>SUBTOTAL(109,Engineering6881889116[Column13])</f>
        <v>0</v>
      </c>
      <c r="P106" s="160">
        <f>IFERROR(N106/M106,0)</f>
        <v>0</v>
      </c>
      <c r="Q106" s="161">
        <f>SUBTOTAL(109,Engineering6881889116[Column15])</f>
        <v>0</v>
      </c>
      <c r="R106" s="162">
        <f>SUBTOTAL(109,Engineering6881889116[Column16])</f>
        <v>0</v>
      </c>
      <c r="S106" s="163">
        <f>SUBTOTAL(109,Engineering6881889116[Column17])</f>
        <v>0</v>
      </c>
      <c r="T106" s="42">
        <f t="shared" si="35"/>
        <v>0</v>
      </c>
    </row>
    <row r="107" spans="1:20" ht="16" thickBot="1"/>
    <row r="108" spans="1:20" ht="62">
      <c r="A108" s="270">
        <v>15</v>
      </c>
      <c r="B108" s="274" t="s">
        <v>10</v>
      </c>
      <c r="C108" s="166" t="s">
        <v>116</v>
      </c>
      <c r="D108" s="167"/>
      <c r="E108" s="168"/>
      <c r="F108" s="168"/>
      <c r="G108" s="167"/>
      <c r="H108" s="168"/>
      <c r="I108" s="179">
        <f>J108+K108</f>
        <v>0</v>
      </c>
      <c r="J108" s="168">
        <v>0</v>
      </c>
      <c r="K108" s="168">
        <v>0</v>
      </c>
      <c r="L108" s="180">
        <f>IFERROR(J108/I108,0)</f>
        <v>0</v>
      </c>
      <c r="M108" s="179">
        <f>N108+O108</f>
        <v>0</v>
      </c>
      <c r="N108" s="168">
        <v>0</v>
      </c>
      <c r="O108" s="168">
        <v>0</v>
      </c>
      <c r="P108" s="180">
        <f>IFERROR(N108/M108,0)</f>
        <v>0</v>
      </c>
      <c r="Q108" s="181">
        <f>R108+S108</f>
        <v>0</v>
      </c>
      <c r="R108" s="182">
        <v>0</v>
      </c>
      <c r="S108" s="183">
        <f>'#1'!S85</f>
        <v>0</v>
      </c>
      <c r="T108" s="184">
        <f t="shared" ref="T108:T113" si="36">IFERROR(R108/Q108,0)</f>
        <v>0</v>
      </c>
    </row>
    <row r="109" spans="1:20">
      <c r="A109" s="271"/>
      <c r="B109" s="275"/>
      <c r="C109" s="175"/>
      <c r="D109" s="176"/>
      <c r="E109" s="151"/>
      <c r="F109" s="151"/>
      <c r="G109" s="176"/>
      <c r="H109" s="151"/>
      <c r="I109" s="152">
        <f>J111+K111</f>
        <v>0</v>
      </c>
      <c r="J109" s="151">
        <f>'#1'!J84</f>
        <v>0</v>
      </c>
      <c r="K109" s="151">
        <f>'#1'!K84</f>
        <v>0</v>
      </c>
      <c r="L109" s="153">
        <f>IFERROR(J111/I111,0)</f>
        <v>0</v>
      </c>
      <c r="M109" s="152">
        <f>N111+O111</f>
        <v>0</v>
      </c>
      <c r="N109" s="151">
        <f>'#1'!N84</f>
        <v>0</v>
      </c>
      <c r="O109" s="151">
        <f>'#1'!O84</f>
        <v>0</v>
      </c>
      <c r="P109" s="153">
        <f>IFERROR(N111/M111,0)</f>
        <v>0</v>
      </c>
      <c r="Q109" s="178">
        <f>R111+S111</f>
        <v>0</v>
      </c>
      <c r="R109" s="154">
        <f>'#1'!R84</f>
        <v>0</v>
      </c>
      <c r="S109" s="185">
        <f>'#1'!S84</f>
        <v>0</v>
      </c>
      <c r="T109" s="186">
        <f t="shared" si="36"/>
        <v>0</v>
      </c>
    </row>
    <row r="110" spans="1:20">
      <c r="A110" s="271"/>
      <c r="B110" s="275"/>
      <c r="C110" s="175"/>
      <c r="D110" s="176"/>
      <c r="E110" s="151"/>
      <c r="F110" s="151"/>
      <c r="G110" s="176"/>
      <c r="H110" s="151"/>
      <c r="I110" s="152">
        <f>J110+K110</f>
        <v>0</v>
      </c>
      <c r="J110" s="151">
        <v>0</v>
      </c>
      <c r="K110" s="151">
        <v>0</v>
      </c>
      <c r="L110" s="153">
        <f>IFERROR(J110/I110,0)</f>
        <v>0</v>
      </c>
      <c r="M110" s="152">
        <f>N110+O110</f>
        <v>0</v>
      </c>
      <c r="N110" s="151">
        <v>0</v>
      </c>
      <c r="O110" s="151">
        <f>'#1'!O84</f>
        <v>0</v>
      </c>
      <c r="P110" s="153">
        <f>IFERROR(N110/M110,0)</f>
        <v>0</v>
      </c>
      <c r="Q110" s="178">
        <f>R110+S110</f>
        <v>0</v>
      </c>
      <c r="R110" s="154">
        <v>0</v>
      </c>
      <c r="S110" s="185">
        <f>'#1'!S84</f>
        <v>0</v>
      </c>
      <c r="T110" s="186">
        <f t="shared" si="36"/>
        <v>0</v>
      </c>
    </row>
    <row r="111" spans="1:20">
      <c r="A111" s="271"/>
      <c r="B111" s="275"/>
      <c r="C111" s="175"/>
      <c r="D111" s="176"/>
      <c r="E111" s="151"/>
      <c r="F111" s="151"/>
      <c r="G111" s="176"/>
      <c r="H111" s="151"/>
      <c r="I111" s="152">
        <f>J111+K111</f>
        <v>0</v>
      </c>
      <c r="J111" s="151">
        <f>'#1'!J85</f>
        <v>0</v>
      </c>
      <c r="K111" s="151">
        <f>'#1'!K85</f>
        <v>0</v>
      </c>
      <c r="L111" s="153">
        <f>IFERROR(J111/I111,0)</f>
        <v>0</v>
      </c>
      <c r="M111" s="152">
        <f>N111+O111</f>
        <v>0</v>
      </c>
      <c r="N111" s="151">
        <f>'#1'!N85</f>
        <v>0</v>
      </c>
      <c r="O111" s="151">
        <f>'#1'!O85</f>
        <v>0</v>
      </c>
      <c r="P111" s="153">
        <f>IFERROR(N111/M111,0)</f>
        <v>0</v>
      </c>
      <c r="Q111" s="178">
        <f>R111+S111</f>
        <v>0</v>
      </c>
      <c r="R111" s="154">
        <f>'#1'!R85</f>
        <v>0</v>
      </c>
      <c r="S111" s="185">
        <f>'#1'!S85</f>
        <v>0</v>
      </c>
      <c r="T111" s="186">
        <f t="shared" si="36"/>
        <v>0</v>
      </c>
    </row>
    <row r="112" spans="1:20" ht="16" thickBot="1">
      <c r="A112" s="272"/>
      <c r="B112" s="276"/>
      <c r="C112" s="175"/>
      <c r="D112" s="176"/>
      <c r="E112" s="151"/>
      <c r="F112" s="151"/>
      <c r="G112" s="176"/>
      <c r="H112" s="151"/>
      <c r="I112" s="152">
        <f>J112+K112</f>
        <v>0</v>
      </c>
      <c r="J112" s="151">
        <f>'#1'!J84</f>
        <v>0</v>
      </c>
      <c r="K112" s="151">
        <f>'#1'!K84</f>
        <v>0</v>
      </c>
      <c r="L112" s="153">
        <f>IFERROR(J112/I112,0)</f>
        <v>0</v>
      </c>
      <c r="M112" s="152">
        <f>N112+O112</f>
        <v>0</v>
      </c>
      <c r="N112" s="151">
        <f>'#1'!N84</f>
        <v>0</v>
      </c>
      <c r="O112" s="151">
        <f>'#1'!O84</f>
        <v>0</v>
      </c>
      <c r="P112" s="153">
        <f>IFERROR(N112/M112,0)</f>
        <v>0</v>
      </c>
      <c r="Q112" s="178">
        <f>R112+S112</f>
        <v>0</v>
      </c>
      <c r="R112" s="154">
        <f>'#1'!R84</f>
        <v>0</v>
      </c>
      <c r="S112" s="185">
        <f>'#1'!S84</f>
        <v>0</v>
      </c>
      <c r="T112" s="186">
        <f t="shared" si="36"/>
        <v>0</v>
      </c>
    </row>
    <row r="113" spans="1:20" ht="19" thickTop="1" thickBot="1">
      <c r="A113" s="165"/>
      <c r="B113" s="156" t="s">
        <v>59</v>
      </c>
      <c r="C113" s="157"/>
      <c r="D113" s="158"/>
      <c r="E113" s="158"/>
      <c r="F113" s="158"/>
      <c r="G113" s="158"/>
      <c r="H113" s="158"/>
      <c r="I113" s="159">
        <f>SUBTOTAL(109,Engineering6881889217[Column7])</f>
        <v>0</v>
      </c>
      <c r="J113" s="158">
        <f>SUBTOTAL(109,Engineering6881889217[Column8])</f>
        <v>0</v>
      </c>
      <c r="K113" s="158">
        <f>SUBTOTAL(109,Engineering6881889217[Column9])</f>
        <v>0</v>
      </c>
      <c r="L113" s="160">
        <f>IFERROR(J113/I113,0)</f>
        <v>0</v>
      </c>
      <c r="M113" s="159">
        <f>SUBTOTAL(109,Engineering6881889217[Column11])</f>
        <v>0</v>
      </c>
      <c r="N113" s="158">
        <f>SUBTOTAL(109,Engineering6881889217[Column12])</f>
        <v>0</v>
      </c>
      <c r="O113" s="158">
        <f>SUBTOTAL(109,Engineering6881889217[Column13])</f>
        <v>0</v>
      </c>
      <c r="P113" s="160">
        <f>IFERROR(N113/M113,0)</f>
        <v>0</v>
      </c>
      <c r="Q113" s="161">
        <f>SUBTOTAL(109,Engineering6881889217[Column15])</f>
        <v>0</v>
      </c>
      <c r="R113" s="162">
        <f>SUBTOTAL(109,Engineering6881889217[Column16])</f>
        <v>0</v>
      </c>
      <c r="S113" s="163">
        <f>SUBTOTAL(109,Engineering6881889217[Column17])</f>
        <v>0</v>
      </c>
      <c r="T113" s="42">
        <f t="shared" si="36"/>
        <v>0</v>
      </c>
    </row>
    <row r="114" spans="1:20" ht="16" thickBot="1"/>
    <row r="115" spans="1:20" ht="62">
      <c r="A115" s="270">
        <v>16</v>
      </c>
      <c r="B115" s="274" t="s">
        <v>23</v>
      </c>
      <c r="C115" s="166" t="s">
        <v>116</v>
      </c>
      <c r="D115" s="167"/>
      <c r="E115" s="168"/>
      <c r="F115" s="168"/>
      <c r="G115" s="167"/>
      <c r="H115" s="168"/>
      <c r="I115" s="179">
        <f>J115+K115</f>
        <v>0</v>
      </c>
      <c r="J115" s="168">
        <v>0</v>
      </c>
      <c r="K115" s="168">
        <v>0</v>
      </c>
      <c r="L115" s="180">
        <f>IFERROR(J115/I115,0)</f>
        <v>0</v>
      </c>
      <c r="M115" s="179">
        <f>N115+O115</f>
        <v>0</v>
      </c>
      <c r="N115" s="168">
        <v>0</v>
      </c>
      <c r="O115" s="168">
        <v>0</v>
      </c>
      <c r="P115" s="180">
        <f>IFERROR(N115/M115,0)</f>
        <v>0</v>
      </c>
      <c r="Q115" s="181">
        <f>R115+S115</f>
        <v>0</v>
      </c>
      <c r="R115" s="182">
        <v>0</v>
      </c>
      <c r="S115" s="183">
        <f>'#1'!S92</f>
        <v>0</v>
      </c>
      <c r="T115" s="184">
        <f t="shared" ref="T115:T120" si="37">IFERROR(R115/Q115,0)</f>
        <v>0</v>
      </c>
    </row>
    <row r="116" spans="1:20">
      <c r="A116" s="271"/>
      <c r="B116" s="275"/>
      <c r="C116" s="175"/>
      <c r="D116" s="176"/>
      <c r="E116" s="151"/>
      <c r="F116" s="151"/>
      <c r="G116" s="176"/>
      <c r="H116" s="151"/>
      <c r="I116" s="152">
        <f>J118+K118</f>
        <v>0</v>
      </c>
      <c r="J116" s="151">
        <f>'#1'!J91</f>
        <v>0</v>
      </c>
      <c r="K116" s="151">
        <f>'#1'!K91</f>
        <v>0</v>
      </c>
      <c r="L116" s="153">
        <f>IFERROR(J118/I118,0)</f>
        <v>0</v>
      </c>
      <c r="M116" s="152">
        <f>N118+O118</f>
        <v>0</v>
      </c>
      <c r="N116" s="151">
        <f>'#1'!N91</f>
        <v>0</v>
      </c>
      <c r="O116" s="151">
        <f>'#1'!O91</f>
        <v>0</v>
      </c>
      <c r="P116" s="153">
        <f>IFERROR(N118/M118,0)</f>
        <v>0</v>
      </c>
      <c r="Q116" s="178">
        <f>R118+S118</f>
        <v>0</v>
      </c>
      <c r="R116" s="154">
        <f>'#1'!R91</f>
        <v>0</v>
      </c>
      <c r="S116" s="185">
        <f>'#1'!S91</f>
        <v>0</v>
      </c>
      <c r="T116" s="186">
        <f t="shared" si="37"/>
        <v>0</v>
      </c>
    </row>
    <row r="117" spans="1:20">
      <c r="A117" s="271"/>
      <c r="B117" s="275"/>
      <c r="C117" s="175"/>
      <c r="D117" s="176"/>
      <c r="E117" s="151"/>
      <c r="F117" s="151"/>
      <c r="G117" s="176"/>
      <c r="H117" s="151"/>
      <c r="I117" s="152">
        <f>J117+K117</f>
        <v>0</v>
      </c>
      <c r="J117" s="151">
        <v>0</v>
      </c>
      <c r="K117" s="151">
        <v>0</v>
      </c>
      <c r="L117" s="153">
        <f>IFERROR(J117/I117,0)</f>
        <v>0</v>
      </c>
      <c r="M117" s="152">
        <f>N117+O117</f>
        <v>0</v>
      </c>
      <c r="N117" s="151">
        <v>0</v>
      </c>
      <c r="O117" s="151">
        <f>'#1'!O91</f>
        <v>0</v>
      </c>
      <c r="P117" s="153">
        <f>IFERROR(N117/M117,0)</f>
        <v>0</v>
      </c>
      <c r="Q117" s="178">
        <f>R117+S117</f>
        <v>0</v>
      </c>
      <c r="R117" s="154">
        <v>0</v>
      </c>
      <c r="S117" s="185">
        <f>'#1'!S91</f>
        <v>0</v>
      </c>
      <c r="T117" s="186">
        <f t="shared" si="37"/>
        <v>0</v>
      </c>
    </row>
    <row r="118" spans="1:20">
      <c r="A118" s="271"/>
      <c r="B118" s="275"/>
      <c r="C118" s="175"/>
      <c r="D118" s="176"/>
      <c r="E118" s="151"/>
      <c r="F118" s="151"/>
      <c r="G118" s="176"/>
      <c r="H118" s="151"/>
      <c r="I118" s="152">
        <f>J118+K118</f>
        <v>0</v>
      </c>
      <c r="J118" s="151">
        <f>'#1'!J92</f>
        <v>0</v>
      </c>
      <c r="K118" s="151">
        <f>'#1'!K92</f>
        <v>0</v>
      </c>
      <c r="L118" s="153">
        <f>IFERROR(J118/I118,0)</f>
        <v>0</v>
      </c>
      <c r="M118" s="152">
        <f>N118+O118</f>
        <v>0</v>
      </c>
      <c r="N118" s="151">
        <f>'#1'!N92</f>
        <v>0</v>
      </c>
      <c r="O118" s="151">
        <f>'#1'!O92</f>
        <v>0</v>
      </c>
      <c r="P118" s="153">
        <f>IFERROR(N118/M118,0)</f>
        <v>0</v>
      </c>
      <c r="Q118" s="178">
        <f>R118+S118</f>
        <v>0</v>
      </c>
      <c r="R118" s="154">
        <f>'#1'!R92</f>
        <v>0</v>
      </c>
      <c r="S118" s="185">
        <f>'#1'!S92</f>
        <v>0</v>
      </c>
      <c r="T118" s="186">
        <f t="shared" si="37"/>
        <v>0</v>
      </c>
    </row>
    <row r="119" spans="1:20" ht="16" thickBot="1">
      <c r="A119" s="272"/>
      <c r="B119" s="276"/>
      <c r="C119" s="175"/>
      <c r="D119" s="176"/>
      <c r="E119" s="151"/>
      <c r="F119" s="151"/>
      <c r="G119" s="176"/>
      <c r="H119" s="151"/>
      <c r="I119" s="152">
        <f>J119+K119</f>
        <v>0</v>
      </c>
      <c r="J119" s="151">
        <f>'#1'!J91</f>
        <v>0</v>
      </c>
      <c r="K119" s="151">
        <f>'#1'!K91</f>
        <v>0</v>
      </c>
      <c r="L119" s="153">
        <f>IFERROR(J119/I119,0)</f>
        <v>0</v>
      </c>
      <c r="M119" s="152">
        <f>N119+O119</f>
        <v>0</v>
      </c>
      <c r="N119" s="151">
        <f>'#1'!N91</f>
        <v>0</v>
      </c>
      <c r="O119" s="151">
        <f>'#1'!O91</f>
        <v>0</v>
      </c>
      <c r="P119" s="153">
        <f>IFERROR(N119/M119,0)</f>
        <v>0</v>
      </c>
      <c r="Q119" s="178">
        <f>R119+S119</f>
        <v>0</v>
      </c>
      <c r="R119" s="154">
        <f>'#1'!R91</f>
        <v>0</v>
      </c>
      <c r="S119" s="185">
        <f>'#1'!S91</f>
        <v>0</v>
      </c>
      <c r="T119" s="186">
        <f t="shared" si="37"/>
        <v>0</v>
      </c>
    </row>
    <row r="120" spans="1:20" ht="19" thickTop="1" thickBot="1">
      <c r="A120" s="165"/>
      <c r="B120" s="156" t="s">
        <v>59</v>
      </c>
      <c r="C120" s="157"/>
      <c r="D120" s="158"/>
      <c r="E120" s="158"/>
      <c r="F120" s="158"/>
      <c r="G120" s="158"/>
      <c r="H120" s="158"/>
      <c r="I120" s="159">
        <f>SUBTOTAL(109,Engineering688188929318[Column7])</f>
        <v>0</v>
      </c>
      <c r="J120" s="158">
        <f>SUBTOTAL(109,Engineering688188929318[Column8])</f>
        <v>0</v>
      </c>
      <c r="K120" s="158">
        <f>SUBTOTAL(109,Engineering688188929318[Column9])</f>
        <v>0</v>
      </c>
      <c r="L120" s="160">
        <f>IFERROR(J120/I120,0)</f>
        <v>0</v>
      </c>
      <c r="M120" s="159">
        <f>SUBTOTAL(109,Engineering688188929318[Column11])</f>
        <v>0</v>
      </c>
      <c r="N120" s="158">
        <f>SUBTOTAL(109,Engineering688188929318[Column12])</f>
        <v>0</v>
      </c>
      <c r="O120" s="158">
        <f>SUBTOTAL(109,Engineering688188929318[Column13])</f>
        <v>0</v>
      </c>
      <c r="P120" s="160">
        <f>IFERROR(N120/M120,0)</f>
        <v>0</v>
      </c>
      <c r="Q120" s="161">
        <f>SUBTOTAL(109,Engineering688188929318[Column15])</f>
        <v>0</v>
      </c>
      <c r="R120" s="162">
        <f>SUBTOTAL(109,Engineering688188929318[Column16])</f>
        <v>0</v>
      </c>
      <c r="S120" s="163">
        <f>SUBTOTAL(109,Engineering688188929318[Column17])</f>
        <v>0</v>
      </c>
      <c r="T120" s="42">
        <f t="shared" si="37"/>
        <v>0</v>
      </c>
    </row>
    <row r="121" spans="1:20" ht="16" thickBot="1"/>
    <row r="122" spans="1:20" ht="62">
      <c r="A122" s="270">
        <v>17</v>
      </c>
      <c r="B122" s="274" t="s">
        <v>24</v>
      </c>
      <c r="C122" s="166" t="s">
        <v>116</v>
      </c>
      <c r="D122" s="167"/>
      <c r="E122" s="168"/>
      <c r="F122" s="168"/>
      <c r="G122" s="167"/>
      <c r="H122" s="168"/>
      <c r="I122" s="179">
        <f>J122+K122</f>
        <v>0</v>
      </c>
      <c r="J122" s="168">
        <v>0</v>
      </c>
      <c r="K122" s="168">
        <v>0</v>
      </c>
      <c r="L122" s="180">
        <f>IFERROR(J122/I122,0)</f>
        <v>0</v>
      </c>
      <c r="M122" s="179">
        <f>N122+O122</f>
        <v>0</v>
      </c>
      <c r="N122" s="168">
        <v>0</v>
      </c>
      <c r="O122" s="168">
        <v>0</v>
      </c>
      <c r="P122" s="180">
        <f>IFERROR(N122/M122,0)</f>
        <v>0</v>
      </c>
      <c r="Q122" s="181">
        <f>R122+S122</f>
        <v>0</v>
      </c>
      <c r="R122" s="182">
        <v>0</v>
      </c>
      <c r="S122" s="183">
        <f>'#1'!S99</f>
        <v>0</v>
      </c>
      <c r="T122" s="184">
        <f t="shared" ref="T122:T127" si="38">IFERROR(R122/Q122,0)</f>
        <v>0</v>
      </c>
    </row>
    <row r="123" spans="1:20">
      <c r="A123" s="271"/>
      <c r="B123" s="275"/>
      <c r="C123" s="175"/>
      <c r="D123" s="176"/>
      <c r="E123" s="151"/>
      <c r="F123" s="151"/>
      <c r="G123" s="176"/>
      <c r="H123" s="151"/>
      <c r="I123" s="152">
        <f>J125+K125</f>
        <v>0</v>
      </c>
      <c r="J123" s="151">
        <f>'#1'!J98</f>
        <v>0</v>
      </c>
      <c r="K123" s="151">
        <f>'#1'!K98</f>
        <v>0</v>
      </c>
      <c r="L123" s="153">
        <f>IFERROR(J125/I125,0)</f>
        <v>0</v>
      </c>
      <c r="M123" s="152">
        <f>N125+O125</f>
        <v>0</v>
      </c>
      <c r="N123" s="151">
        <f>'#1'!N98</f>
        <v>0</v>
      </c>
      <c r="O123" s="151">
        <f>'#1'!O98</f>
        <v>0</v>
      </c>
      <c r="P123" s="153">
        <f>IFERROR(N125/M125,0)</f>
        <v>0</v>
      </c>
      <c r="Q123" s="178">
        <f>R125+S125</f>
        <v>0</v>
      </c>
      <c r="R123" s="154">
        <f>'#1'!R98</f>
        <v>0</v>
      </c>
      <c r="S123" s="185">
        <f>'#1'!S98</f>
        <v>0</v>
      </c>
      <c r="T123" s="186">
        <f t="shared" si="38"/>
        <v>0</v>
      </c>
    </row>
    <row r="124" spans="1:20">
      <c r="A124" s="271"/>
      <c r="B124" s="275"/>
      <c r="C124" s="175"/>
      <c r="D124" s="176"/>
      <c r="E124" s="151"/>
      <c r="F124" s="151"/>
      <c r="G124" s="176"/>
      <c r="H124" s="151"/>
      <c r="I124" s="152">
        <f>J124+K124</f>
        <v>0</v>
      </c>
      <c r="J124" s="151">
        <v>0</v>
      </c>
      <c r="K124" s="151">
        <v>0</v>
      </c>
      <c r="L124" s="153">
        <f>IFERROR(J124/I124,0)</f>
        <v>0</v>
      </c>
      <c r="M124" s="152">
        <f>N124+O124</f>
        <v>0</v>
      </c>
      <c r="N124" s="151">
        <v>0</v>
      </c>
      <c r="O124" s="151">
        <f>'#1'!O98</f>
        <v>0</v>
      </c>
      <c r="P124" s="153">
        <f>IFERROR(N124/M124,0)</f>
        <v>0</v>
      </c>
      <c r="Q124" s="178">
        <f>R124+S124</f>
        <v>0</v>
      </c>
      <c r="R124" s="154">
        <v>0</v>
      </c>
      <c r="S124" s="185">
        <f>'#1'!S98</f>
        <v>0</v>
      </c>
      <c r="T124" s="186">
        <f t="shared" si="38"/>
        <v>0</v>
      </c>
    </row>
    <row r="125" spans="1:20">
      <c r="A125" s="271"/>
      <c r="B125" s="275"/>
      <c r="C125" s="175"/>
      <c r="D125" s="176"/>
      <c r="E125" s="151"/>
      <c r="F125" s="151"/>
      <c r="G125" s="176"/>
      <c r="H125" s="151"/>
      <c r="I125" s="152">
        <f>J125+K125</f>
        <v>0</v>
      </c>
      <c r="J125" s="151">
        <f>'#1'!J99</f>
        <v>0</v>
      </c>
      <c r="K125" s="151">
        <f>'#1'!K99</f>
        <v>0</v>
      </c>
      <c r="L125" s="153">
        <f>IFERROR(J125/I125,0)</f>
        <v>0</v>
      </c>
      <c r="M125" s="152">
        <f>N125+O125</f>
        <v>0</v>
      </c>
      <c r="N125" s="151">
        <f>'#1'!N99</f>
        <v>0</v>
      </c>
      <c r="O125" s="151">
        <f>'#1'!O99</f>
        <v>0</v>
      </c>
      <c r="P125" s="153">
        <f>IFERROR(N125/M125,0)</f>
        <v>0</v>
      </c>
      <c r="Q125" s="178">
        <f>R125+S125</f>
        <v>0</v>
      </c>
      <c r="R125" s="154">
        <f>'#1'!R99</f>
        <v>0</v>
      </c>
      <c r="S125" s="185">
        <f>'#1'!S99</f>
        <v>0</v>
      </c>
      <c r="T125" s="186">
        <f t="shared" si="38"/>
        <v>0</v>
      </c>
    </row>
    <row r="126" spans="1:20" ht="16" thickBot="1">
      <c r="A126" s="272"/>
      <c r="B126" s="276"/>
      <c r="C126" s="175"/>
      <c r="D126" s="176"/>
      <c r="E126" s="151"/>
      <c r="F126" s="151"/>
      <c r="G126" s="176"/>
      <c r="H126" s="151"/>
      <c r="I126" s="152">
        <f>J126+K126</f>
        <v>0</v>
      </c>
      <c r="J126" s="151">
        <f>'#1'!J98</f>
        <v>0</v>
      </c>
      <c r="K126" s="151">
        <f>'#1'!K98</f>
        <v>0</v>
      </c>
      <c r="L126" s="153">
        <f>IFERROR(J126/I126,0)</f>
        <v>0</v>
      </c>
      <c r="M126" s="152">
        <f>N126+O126</f>
        <v>0</v>
      </c>
      <c r="N126" s="151">
        <f>'#1'!N98</f>
        <v>0</v>
      </c>
      <c r="O126" s="151">
        <f>'#1'!O98</f>
        <v>0</v>
      </c>
      <c r="P126" s="153">
        <f>IFERROR(N126/M126,0)</f>
        <v>0</v>
      </c>
      <c r="Q126" s="178">
        <f>R126+S126</f>
        <v>0</v>
      </c>
      <c r="R126" s="154">
        <f>'#1'!R98</f>
        <v>0</v>
      </c>
      <c r="S126" s="185">
        <f>'#1'!S98</f>
        <v>0</v>
      </c>
      <c r="T126" s="186">
        <f t="shared" si="38"/>
        <v>0</v>
      </c>
    </row>
    <row r="127" spans="1:20" ht="19" thickTop="1" thickBot="1">
      <c r="A127" s="165"/>
      <c r="B127" s="156" t="s">
        <v>59</v>
      </c>
      <c r="C127" s="157"/>
      <c r="D127" s="158"/>
      <c r="E127" s="158"/>
      <c r="F127" s="158"/>
      <c r="G127" s="158"/>
      <c r="H127" s="158"/>
      <c r="I127" s="159">
        <f>SUBTOTAL(109,Engineering688188929519[Column7])</f>
        <v>0</v>
      </c>
      <c r="J127" s="158">
        <f>SUBTOTAL(109,Engineering688188929519[Column8])</f>
        <v>0</v>
      </c>
      <c r="K127" s="158">
        <f>SUBTOTAL(109,Engineering688188929519[Column9])</f>
        <v>0</v>
      </c>
      <c r="L127" s="160">
        <f>IFERROR(J127/I127,0)</f>
        <v>0</v>
      </c>
      <c r="M127" s="159">
        <f>SUBTOTAL(109,Engineering688188929519[Column11])</f>
        <v>0</v>
      </c>
      <c r="N127" s="158">
        <f>SUBTOTAL(109,Engineering688188929519[Column12])</f>
        <v>0</v>
      </c>
      <c r="O127" s="158">
        <f>SUBTOTAL(109,Engineering688188929519[Column13])</f>
        <v>0</v>
      </c>
      <c r="P127" s="160">
        <f>IFERROR(N127/M127,0)</f>
        <v>0</v>
      </c>
      <c r="Q127" s="161">
        <f>SUBTOTAL(109,Engineering688188929519[Column15])</f>
        <v>0</v>
      </c>
      <c r="R127" s="162">
        <f>SUBTOTAL(109,Engineering688188929519[Column16])</f>
        <v>0</v>
      </c>
      <c r="S127" s="163">
        <f>SUBTOTAL(109,Engineering688188929519[Column17])</f>
        <v>0</v>
      </c>
      <c r="T127" s="42">
        <f t="shared" si="38"/>
        <v>0</v>
      </c>
    </row>
    <row r="128" spans="1:20" ht="16" thickBot="1"/>
    <row r="129" spans="1:20" ht="62">
      <c r="A129" s="270">
        <v>18</v>
      </c>
      <c r="B129" s="274" t="s">
        <v>109</v>
      </c>
      <c r="C129" s="166" t="s">
        <v>116</v>
      </c>
      <c r="D129" s="167"/>
      <c r="E129" s="168"/>
      <c r="F129" s="168"/>
      <c r="G129" s="167"/>
      <c r="H129" s="168"/>
      <c r="I129" s="179">
        <f>J129+K129</f>
        <v>0</v>
      </c>
      <c r="J129" s="168">
        <v>0</v>
      </c>
      <c r="K129" s="168">
        <v>0</v>
      </c>
      <c r="L129" s="180">
        <f>IFERROR(J129/I129,0)</f>
        <v>0</v>
      </c>
      <c r="M129" s="179">
        <f>N129+O129</f>
        <v>0</v>
      </c>
      <c r="N129" s="168">
        <v>0</v>
      </c>
      <c r="O129" s="168">
        <v>0</v>
      </c>
      <c r="P129" s="180">
        <f>IFERROR(N129/M129,0)</f>
        <v>0</v>
      </c>
      <c r="Q129" s="181">
        <v>0</v>
      </c>
      <c r="R129" s="182">
        <v>0</v>
      </c>
      <c r="S129" s="183">
        <f>'#1'!S106</f>
        <v>0</v>
      </c>
      <c r="T129" s="184">
        <f t="shared" ref="T129:T134" si="39">IFERROR(R129/Q129,0)</f>
        <v>0</v>
      </c>
    </row>
    <row r="130" spans="1:20">
      <c r="A130" s="271"/>
      <c r="B130" s="275"/>
      <c r="C130" s="175"/>
      <c r="D130" s="176"/>
      <c r="E130" s="151"/>
      <c r="F130" s="151"/>
      <c r="G130" s="176"/>
      <c r="H130" s="151"/>
      <c r="I130" s="152">
        <f>J132+K132</f>
        <v>0</v>
      </c>
      <c r="J130" s="151">
        <f>'#1'!J105</f>
        <v>0</v>
      </c>
      <c r="K130" s="151">
        <f>'#1'!K105</f>
        <v>0</v>
      </c>
      <c r="L130" s="153">
        <f>IFERROR(J132/I132,0)</f>
        <v>0</v>
      </c>
      <c r="M130" s="152">
        <f>N132+O132</f>
        <v>0</v>
      </c>
      <c r="N130" s="151">
        <f>'#1'!N105</f>
        <v>0</v>
      </c>
      <c r="O130" s="151">
        <f>'#1'!O105</f>
        <v>0</v>
      </c>
      <c r="P130" s="153">
        <f>IFERROR(N132/M132,0)</f>
        <v>0</v>
      </c>
      <c r="Q130" s="178">
        <f>R132+S132</f>
        <v>0</v>
      </c>
      <c r="R130" s="154">
        <f>'#1'!R105</f>
        <v>0</v>
      </c>
      <c r="S130" s="185">
        <f>'#1'!S105</f>
        <v>0</v>
      </c>
      <c r="T130" s="186">
        <f t="shared" si="39"/>
        <v>0</v>
      </c>
    </row>
    <row r="131" spans="1:20">
      <c r="A131" s="271"/>
      <c r="B131" s="275"/>
      <c r="C131" s="175"/>
      <c r="D131" s="176"/>
      <c r="E131" s="151"/>
      <c r="F131" s="151"/>
      <c r="G131" s="176"/>
      <c r="H131" s="151"/>
      <c r="I131" s="152">
        <f>J131+K131</f>
        <v>0</v>
      </c>
      <c r="J131" s="151">
        <v>0</v>
      </c>
      <c r="K131" s="151">
        <v>0</v>
      </c>
      <c r="L131" s="153">
        <f>IFERROR(J131/I131,0)</f>
        <v>0</v>
      </c>
      <c r="M131" s="152">
        <f>N131+O131</f>
        <v>0</v>
      </c>
      <c r="N131" s="151">
        <v>0</v>
      </c>
      <c r="O131" s="151">
        <f>'#1'!O105</f>
        <v>0</v>
      </c>
      <c r="P131" s="153">
        <f>IFERROR(N131/M131,0)</f>
        <v>0</v>
      </c>
      <c r="Q131" s="178">
        <f>R131+S131</f>
        <v>0</v>
      </c>
      <c r="R131" s="154">
        <v>0</v>
      </c>
      <c r="S131" s="185">
        <f>'#1'!S105</f>
        <v>0</v>
      </c>
      <c r="T131" s="186">
        <f t="shared" si="39"/>
        <v>0</v>
      </c>
    </row>
    <row r="132" spans="1:20">
      <c r="A132" s="271"/>
      <c r="B132" s="275"/>
      <c r="C132" s="175"/>
      <c r="D132" s="176"/>
      <c r="E132" s="151"/>
      <c r="F132" s="151"/>
      <c r="G132" s="176"/>
      <c r="H132" s="151"/>
      <c r="I132" s="152">
        <f>J132+K132</f>
        <v>0</v>
      </c>
      <c r="J132" s="151">
        <f>'#1'!J106</f>
        <v>0</v>
      </c>
      <c r="K132" s="151">
        <f>'#1'!K106</f>
        <v>0</v>
      </c>
      <c r="L132" s="153">
        <f>IFERROR(J132/I132,0)</f>
        <v>0</v>
      </c>
      <c r="M132" s="152">
        <f>N132+O132</f>
        <v>0</v>
      </c>
      <c r="N132" s="151">
        <f>'#1'!N106</f>
        <v>0</v>
      </c>
      <c r="O132" s="151">
        <f>'#1'!O106</f>
        <v>0</v>
      </c>
      <c r="P132" s="153">
        <f>IFERROR(N132/M132,0)</f>
        <v>0</v>
      </c>
      <c r="Q132" s="178">
        <f>R132+S132</f>
        <v>0</v>
      </c>
      <c r="R132" s="154">
        <f>'#1'!R106</f>
        <v>0</v>
      </c>
      <c r="S132" s="185">
        <f>'#1'!S106</f>
        <v>0</v>
      </c>
      <c r="T132" s="186">
        <f t="shared" si="39"/>
        <v>0</v>
      </c>
    </row>
    <row r="133" spans="1:20" ht="16" thickBot="1">
      <c r="A133" s="272"/>
      <c r="B133" s="276"/>
      <c r="C133" s="175"/>
      <c r="D133" s="176"/>
      <c r="E133" s="151"/>
      <c r="F133" s="151"/>
      <c r="G133" s="176"/>
      <c r="H133" s="151"/>
      <c r="I133" s="152">
        <f>J133+K133</f>
        <v>0</v>
      </c>
      <c r="J133" s="151">
        <f>'#1'!J105</f>
        <v>0</v>
      </c>
      <c r="K133" s="151">
        <f>'#1'!K105</f>
        <v>0</v>
      </c>
      <c r="L133" s="153">
        <f>IFERROR(J133/I133,0)</f>
        <v>0</v>
      </c>
      <c r="M133" s="152">
        <f>N133+O133</f>
        <v>0</v>
      </c>
      <c r="N133" s="151">
        <f>'#1'!N105</f>
        <v>0</v>
      </c>
      <c r="O133" s="151">
        <f>'#1'!O105</f>
        <v>0</v>
      </c>
      <c r="P133" s="153">
        <f>IFERROR(N133/M133,0)</f>
        <v>0</v>
      </c>
      <c r="Q133" s="178">
        <f>R133+S133</f>
        <v>0</v>
      </c>
      <c r="R133" s="154">
        <f>'#1'!R105</f>
        <v>0</v>
      </c>
      <c r="S133" s="185">
        <f>'#1'!S105</f>
        <v>0</v>
      </c>
      <c r="T133" s="186">
        <f t="shared" si="39"/>
        <v>0</v>
      </c>
    </row>
    <row r="134" spans="1:20" ht="19" thickTop="1" thickBot="1">
      <c r="A134" s="165"/>
      <c r="B134" s="156" t="s">
        <v>59</v>
      </c>
      <c r="C134" s="157"/>
      <c r="D134" s="158"/>
      <c r="E134" s="158"/>
      <c r="F134" s="158"/>
      <c r="G134" s="158"/>
      <c r="H134" s="158"/>
      <c r="I134" s="159">
        <f>SUBTOTAL(109,Engineering688188929620[Column7])</f>
        <v>0</v>
      </c>
      <c r="J134" s="158">
        <f>SUBTOTAL(109,Engineering688188929620[Column8])</f>
        <v>0</v>
      </c>
      <c r="K134" s="158">
        <f>SUBTOTAL(109,Engineering688188929620[Column9])</f>
        <v>0</v>
      </c>
      <c r="L134" s="160">
        <f>IFERROR(J134/I134,0)</f>
        <v>0</v>
      </c>
      <c r="M134" s="159">
        <f>SUBTOTAL(109,Engineering688188929620[Column11])</f>
        <v>0</v>
      </c>
      <c r="N134" s="158">
        <f>SUBTOTAL(109,Engineering688188929620[Column12])</f>
        <v>0</v>
      </c>
      <c r="O134" s="158">
        <f>SUBTOTAL(109,Engineering688188929620[Column13])</f>
        <v>0</v>
      </c>
      <c r="P134" s="160">
        <f>IFERROR(N134/M134,0)</f>
        <v>0</v>
      </c>
      <c r="Q134" s="161">
        <f>SUBTOTAL(109,Engineering688188929620[Column15])</f>
        <v>0</v>
      </c>
      <c r="R134" s="162">
        <f>SUBTOTAL(109,Engineering688188929620[Column16])</f>
        <v>0</v>
      </c>
      <c r="S134" s="163">
        <f>SUBTOTAL(109,Engineering688188929620[Column17])</f>
        <v>0</v>
      </c>
      <c r="T134" s="42">
        <f t="shared" si="39"/>
        <v>0</v>
      </c>
    </row>
    <row r="137" spans="1:20" ht="42.5" hidden="1" customHeight="1" thickBot="1">
      <c r="A137" s="20"/>
      <c r="B137" s="187" t="s">
        <v>67</v>
      </c>
      <c r="C137" s="188"/>
      <c r="D137" s="189"/>
      <c r="E137" s="189"/>
      <c r="F137" s="189"/>
      <c r="G137" s="189"/>
      <c r="H137" s="189"/>
      <c r="I137" s="190">
        <f>J137+K137</f>
        <v>0</v>
      </c>
      <c r="J137" s="191">
        <f>Engineering2[[#Totals],[Column8]]+Engineering683[[#Totals],[Column8]]+Engineering68805[[#Totals],[Column8]]+Engineering68816[[#Totals],[Column8]]+Engineering6881827[[#Totals],[Column8]]+Engineering6881838[[#Totals],[Column8]]+Engineering6881849[[#Totals],[Column8]]+Engineering68818510[[#Totals],[Column8]]+Engineering68818611[[#Totals],[Column8]]+Engineering68818712[[#Totals],[Column8]]+Engineering68818813[[#Totals],[Column8]]+Engineering6881888914[[#Totals],[Column8]]+Engineering6881889015[[#Totals],[Column8]]+Engineering6881889116[[#Totals],[Column8]]+Engineering6881889217[[#Totals],[Column8]]+Engineering688188929318[[#Totals],[Column8]]+Engineering688188929519[[#Totals],[Column8]]+Engineering688188929620[[#Totals],[Column8]]</f>
        <v>0</v>
      </c>
      <c r="K137" s="191">
        <f>Engineering2[[#Totals],[Column9]]+Engineering683[[#Totals],[Column9]]+Engineering68805[[#Totals],[Column9]]+Engineering68816[[#Totals],[Column9]]+Engineering6881827[[#Totals],[Column9]]+Engineering6881838[[#Totals],[Column9]]+Engineering6881849[[#Totals],[Column9]]+Engineering68818510[[#Totals],[Column9]]+Engineering68818611[[#Totals],[Column9]]+Engineering68818712[[#Totals],[Column9]]+Engineering68818813[[#Totals],[Column9]]+Engineering6881888914[[#Totals],[Column9]]+Engineering6881889015[[#Totals],[Column9]]+Engineering6881889116[[#Totals],[Column9]]+Engineering6881889217[[#Totals],[Column9]]+Engineering688188929318[[#Totals],[Column9]]+Engineering688188929519[[#Totals],[Column9]]+Engineering688188929620[[#Totals],[Column9]]</f>
        <v>0</v>
      </c>
      <c r="L137" s="192">
        <f>IFERROR(J137/I137,0)</f>
        <v>0</v>
      </c>
      <c r="M137" s="190">
        <f>N137+O137</f>
        <v>0</v>
      </c>
      <c r="N137" s="191">
        <f>Engineering2[[#Totals],[Column12]]+Engineering683[[#Totals],[Column12]]+Engineering68805[[#Totals],[Column12]]+Engineering68816[[#Totals],[Column12]]+Engineering6881827[[#Totals],[Column12]]+Engineering6881838[[#Totals],[Column12]]+Engineering6881849[[#Totals],[Column12]]+Engineering68818510[[#Totals],[Column12]]+Engineering68818611[[#Totals],[Column12]]+Engineering68818712[[#Totals],[Column12]]+Engineering68818813[[#Totals],[Column12]]+Engineering6881888914[[#Totals],[Column12]]+Engineering6881889015[[#Totals],[Column12]]+Engineering6881889116[[#Totals],[Column12]]+Engineering6881889217[[#Totals],[Column12]]+Engineering688188929318[[#Totals],[Column12]]+Engineering688188929519[[#Totals],[Column12]]+Engineering688188929620[[#Totals],[Column12]]</f>
        <v>0</v>
      </c>
      <c r="O137" s="191">
        <f>Engineering2[[#Totals],[Column13]]+Engineering683[[#Totals],[Column13]]+Engineering68805[[#Totals],[Column13]]+Engineering68816[[#Totals],[Column13]]+Engineering6881827[[#Totals],[Column13]]+Engineering6881838[[#Totals],[Column13]]+Engineering6881849[[#Totals],[Column13]]+Engineering68818510[[#Totals],[Column13]]+Engineering68818611[[#Totals],[Column13]]+Engineering68818712[[#Totals],[Column13]]+Engineering68818813[[#Totals],[Column13]]+Engineering6881888914[[#Totals],[Column13]]+Engineering6881889015[[#Totals],[Column13]]+Engineering6881889116[[#Totals],[Column13]]+Engineering6881889217[[#Totals],[Column13]]+Engineering688188929318[[#Totals],[Column13]]+Engineering688188929519[[#Totals],[Column13]]+Engineering688188929620[[#Totals],[Column13]]</f>
        <v>0</v>
      </c>
      <c r="P137" s="44">
        <f>IFERROR(N137/M137,0)</f>
        <v>0</v>
      </c>
      <c r="Q137" s="193">
        <f>R137+S137</f>
        <v>0</v>
      </c>
      <c r="R137" s="194">
        <f>Engineering2[[#Totals],[Column16]]+Engineering683[[#Totals],[Column16]]+Engineering68805[[#Totals],[Column16]]+Engineering68816[[#Totals],[Column16]]+Engineering6881827[[#Totals],[Column16]]+Engineering6881838[[#Totals],[Column16]]+Engineering6881849[[#Totals],[Column16]]+Engineering68818510[[#Totals],[Column16]]+Engineering68818611[[#Totals],[Column16]]+Engineering68818712[[#Totals],[Column16]]+Engineering68818813[[#Totals],[Column16]]+Engineering6881888914[[#Totals],[Column16]]+Engineering6881889015[[#Totals],[Column16]]+Engineering6881889116[[#Totals],[Column16]]+Engineering6881889217[[#Totals],[Column16]]+Engineering688188929318[[#Totals],[Column16]]+Engineering688188929519[[#Totals],[Column16]]+Engineering688188929620[[#Totals],[Column16]]</f>
        <v>0</v>
      </c>
      <c r="S137" s="194">
        <f>Engineering2[[#Totals],[Column17]]+Engineering683[[#Totals],[Column17]]+Engineering68805[[#Totals],[Column17]]+Engineering68816[[#Totals],[Column17]]+Engineering6881827[[#Totals],[Column17]]+Engineering6881838[[#Totals],[Column17]]+Engineering6881849[[#Totals],[Column17]]+Engineering68818510[[#Totals],[Column17]]+Engineering68818611[[#Totals],[Column17]]+Engineering68818712[[#Totals],[Column17]]+Engineering68818813[[#Totals],[Column17]]+Engineering6881888914[[#Totals],[Column17]]+Engineering6881889015[[#Totals],[Column17]]+Engineering6881889116[[#Totals],[Column17]]+Engineering6881889217[[#Totals],[Column17]]+Engineering688188929318[[#Totals],[Column17]]+Engineering688188929519[[#Totals],[Column17]]+Engineering688188929620[[#Totals],[Column17]]</f>
        <v>0</v>
      </c>
      <c r="T137" s="45">
        <f>IFERROR(R137/Q137,0)</f>
        <v>0</v>
      </c>
    </row>
  </sheetData>
  <sheetProtection algorithmName="SHA-512" hashValue="iqV3dE12DMFhy0Sdd592QZDWTEV66/7HbkkSTNhxrX1SbpLtgH8m6cQW+6SZ1HgpbPqftT5nnBLhOMNRQ8CMfg==" saltValue="uoOmjDH2aUbbKuHZIj/Bhw==" spinCount="100000" sheet="1" objects="1" scenarios="1" selectLockedCells="1" selectUnlockedCells="1"/>
  <mergeCells count="45">
    <mergeCell ref="A115:A119"/>
    <mergeCell ref="B115:B119"/>
    <mergeCell ref="A122:A126"/>
    <mergeCell ref="B122:B126"/>
    <mergeCell ref="A129:A133"/>
    <mergeCell ref="B129:B133"/>
    <mergeCell ref="A94:A98"/>
    <mergeCell ref="B94:B98"/>
    <mergeCell ref="A101:A105"/>
    <mergeCell ref="B101:B105"/>
    <mergeCell ref="A108:A112"/>
    <mergeCell ref="B108:B112"/>
    <mergeCell ref="A73:A77"/>
    <mergeCell ref="B73:B77"/>
    <mergeCell ref="A80:A84"/>
    <mergeCell ref="B80:B84"/>
    <mergeCell ref="A87:A91"/>
    <mergeCell ref="B87:B91"/>
    <mergeCell ref="A52:A56"/>
    <mergeCell ref="B52:B56"/>
    <mergeCell ref="A59:A63"/>
    <mergeCell ref="B59:B63"/>
    <mergeCell ref="A66:A70"/>
    <mergeCell ref="B66:B70"/>
    <mergeCell ref="A31:A35"/>
    <mergeCell ref="B31:B35"/>
    <mergeCell ref="A38:A42"/>
    <mergeCell ref="B38:B42"/>
    <mergeCell ref="A45:A49"/>
    <mergeCell ref="B45:B49"/>
    <mergeCell ref="A11:A15"/>
    <mergeCell ref="B11:B15"/>
    <mergeCell ref="A18:A22"/>
    <mergeCell ref="B18:B22"/>
    <mergeCell ref="A25:A28"/>
    <mergeCell ref="B25:B28"/>
    <mergeCell ref="A8:T8"/>
    <mergeCell ref="A9:A10"/>
    <mergeCell ref="B9:B10"/>
    <mergeCell ref="C9:C10"/>
    <mergeCell ref="D9:F9"/>
    <mergeCell ref="G9:H9"/>
    <mergeCell ref="I9:L9"/>
    <mergeCell ref="M9:P9"/>
    <mergeCell ref="Q9:T9"/>
  </mergeCells>
  <dataValidations count="1">
    <dataValidation allowBlank="1" showInputMessage="1" showErrorMessage="1" prompt="Please fill in this cell with text" sqref="C11:F15 C129:F133 C25:F28 C31:F35 C38:F42 C45:F49 C52:F56 C59:F63 C66:F70 C73:F77 C80:F84 C87:F91 C94:F98 C101:F105 C108:F112 C115:F119 C122:F126 C18:F22" xr:uid="{FB7C7F43-CFAF-4850-9800-BFE033AB55EA}"/>
  </dataValidations>
  <pageMargins left="0.7" right="0.7" top="0.75" bottom="0.75" header="0.3" footer="0.3"/>
  <pageSetup orientation="portrait" horizontalDpi="4294967295" verticalDpi="4294967295" r:id="rId1"/>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E3A7C-7418-4245-BBDE-848AD7A8CEE1}">
  <dimension ref="A1:Z14"/>
  <sheetViews>
    <sheetView view="pageBreakPreview" topLeftCell="C1" zoomScale="60" zoomScaleNormal="55" workbookViewId="0">
      <selection activeCell="I11" sqref="I11"/>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20.81640625" style="2" customWidth="1"/>
    <col min="8" max="8" width="19.6328125" style="2" customWidth="1"/>
    <col min="9" max="11" width="14.81640625" style="2" customWidth="1"/>
    <col min="12" max="12" width="8.90625" style="2" customWidth="1"/>
    <col min="13" max="13" width="14.1796875" style="2" customWidth="1"/>
    <col min="14" max="15" width="14.81640625" style="2" customWidth="1"/>
    <col min="16" max="16" width="9.36328125" style="2" customWidth="1"/>
    <col min="17" max="18" width="15.1796875" style="2" customWidth="1"/>
    <col min="19" max="19" width="17.6328125" style="2" customWidth="1"/>
    <col min="20" max="20" width="9" style="2" customWidth="1"/>
    <col min="21" max="21" width="16" style="2" customWidth="1"/>
    <col min="22" max="22" width="17.36328125" style="2" customWidth="1"/>
    <col min="23" max="23" width="17.1796875" style="2" customWidth="1"/>
    <col min="24" max="24" width="10.54296875" style="2" customWidth="1"/>
    <col min="25" max="25" width="11.26953125" style="2" customWidth="1"/>
    <col min="26" max="26" width="39.36328125" style="2" customWidth="1"/>
    <col min="27" max="16384" width="8.7265625" style="21"/>
  </cols>
  <sheetData>
    <row r="1" spans="1:26">
      <c r="W1" s="21"/>
      <c r="X1" s="21"/>
      <c r="Y1" s="21"/>
      <c r="Z1" s="21"/>
    </row>
    <row r="2" spans="1:26">
      <c r="B2" s="24"/>
      <c r="W2" s="21"/>
      <c r="X2" s="21"/>
      <c r="Y2" s="21"/>
      <c r="Z2" s="21"/>
    </row>
    <row r="3" spans="1:26">
      <c r="B3" s="24"/>
      <c r="W3" s="21"/>
      <c r="X3" s="21"/>
      <c r="Y3" s="21"/>
      <c r="Z3" s="21"/>
    </row>
    <row r="4" spans="1:26" s="102" customFormat="1" hidden="1">
      <c r="A4" s="1"/>
      <c r="B4" s="135"/>
      <c r="C4" s="1"/>
      <c r="D4" s="1"/>
      <c r="E4" s="1"/>
      <c r="F4" s="1"/>
      <c r="G4" s="1"/>
      <c r="H4" s="1"/>
      <c r="I4" s="1"/>
      <c r="J4" s="1"/>
      <c r="K4" s="1"/>
      <c r="L4" s="1"/>
      <c r="M4" s="1"/>
      <c r="N4" s="1"/>
      <c r="O4" s="1"/>
      <c r="P4" s="1"/>
      <c r="Q4" s="1"/>
      <c r="R4" s="1"/>
      <c r="S4" s="1"/>
      <c r="T4" s="1"/>
      <c r="U4" s="1"/>
      <c r="V4" s="1"/>
    </row>
    <row r="5" spans="1:26" s="102" customFormat="1" hidden="1">
      <c r="A5" s="1"/>
      <c r="B5" s="1"/>
      <c r="C5" s="1"/>
      <c r="D5" s="1"/>
      <c r="E5" s="1"/>
      <c r="F5" s="1"/>
      <c r="G5" s="1"/>
      <c r="H5" s="1"/>
      <c r="I5" s="1"/>
      <c r="J5" s="1"/>
      <c r="K5" s="1"/>
      <c r="L5" s="1"/>
      <c r="M5" s="1"/>
      <c r="N5" s="1"/>
      <c r="O5" s="1"/>
      <c r="P5" s="1"/>
      <c r="Q5" s="1"/>
      <c r="R5" s="1"/>
      <c r="S5" s="1"/>
      <c r="T5" s="1"/>
      <c r="U5" s="1"/>
      <c r="V5" s="1"/>
      <c r="W5" s="1"/>
      <c r="X5" s="1"/>
      <c r="Y5" s="1"/>
      <c r="Z5" s="1"/>
    </row>
    <row r="6" spans="1:26" s="2" customFormat="1" ht="83.5" customHeight="1" thickBot="1">
      <c r="A6" s="318" t="s">
        <v>31</v>
      </c>
      <c r="B6" s="312"/>
      <c r="C6" s="312"/>
      <c r="D6" s="312"/>
      <c r="E6" s="312"/>
      <c r="F6" s="312"/>
      <c r="G6" s="312"/>
      <c r="H6" s="312"/>
      <c r="I6" s="312"/>
      <c r="J6" s="312"/>
      <c r="K6" s="312"/>
      <c r="L6" s="312"/>
      <c r="M6" s="312"/>
      <c r="N6" s="312"/>
      <c r="O6" s="312"/>
      <c r="P6" s="312"/>
      <c r="Q6" s="312"/>
      <c r="R6" s="312"/>
      <c r="S6" s="312"/>
      <c r="T6" s="312"/>
      <c r="U6" s="312"/>
      <c r="V6" s="312"/>
      <c r="W6" s="312"/>
      <c r="X6" s="312"/>
      <c r="Y6" s="312"/>
      <c r="Z6" s="312"/>
    </row>
    <row r="7" spans="1:26" s="2" customFormat="1" ht="83.5" customHeight="1">
      <c r="A7" s="285" t="s">
        <v>6</v>
      </c>
      <c r="B7" s="287" t="s">
        <v>85</v>
      </c>
      <c r="C7" s="283" t="s">
        <v>58</v>
      </c>
      <c r="D7" s="280" t="s">
        <v>7</v>
      </c>
      <c r="E7" s="281"/>
      <c r="F7" s="282"/>
      <c r="G7" s="292" t="s">
        <v>60</v>
      </c>
      <c r="H7" s="294" t="s">
        <v>66</v>
      </c>
      <c r="I7" s="280" t="s">
        <v>62</v>
      </c>
      <c r="J7" s="281"/>
      <c r="K7" s="281"/>
      <c r="L7" s="282"/>
      <c r="M7" s="280" t="s">
        <v>69</v>
      </c>
      <c r="N7" s="281"/>
      <c r="O7" s="281"/>
      <c r="P7" s="282"/>
      <c r="Q7" s="289" t="s">
        <v>64</v>
      </c>
      <c r="R7" s="290"/>
      <c r="S7" s="290"/>
      <c r="T7" s="291"/>
      <c r="U7" s="277" t="s">
        <v>86</v>
      </c>
      <c r="V7" s="278"/>
      <c r="W7" s="278"/>
      <c r="X7" s="278"/>
      <c r="Y7" s="278"/>
      <c r="Z7" s="279"/>
    </row>
    <row r="8" spans="1:26" s="2" customFormat="1" ht="83.5" customHeight="1" thickBot="1">
      <c r="A8" s="286"/>
      <c r="B8" s="288"/>
      <c r="C8" s="284"/>
      <c r="D8" s="27" t="s">
        <v>57</v>
      </c>
      <c r="E8" s="28" t="s">
        <v>87</v>
      </c>
      <c r="F8" s="29" t="s">
        <v>88</v>
      </c>
      <c r="G8" s="293"/>
      <c r="H8" s="295"/>
      <c r="I8" s="196" t="s">
        <v>0</v>
      </c>
      <c r="J8" s="63" t="s">
        <v>89</v>
      </c>
      <c r="K8" s="63" t="s">
        <v>94</v>
      </c>
      <c r="L8" s="198" t="s">
        <v>12</v>
      </c>
      <c r="M8" s="196" t="s">
        <v>0</v>
      </c>
      <c r="N8" s="63" t="s">
        <v>89</v>
      </c>
      <c r="O8" s="63" t="s">
        <v>94</v>
      </c>
      <c r="P8" s="198" t="s">
        <v>12</v>
      </c>
      <c r="Q8" s="196" t="s">
        <v>61</v>
      </c>
      <c r="R8" s="63" t="s">
        <v>92</v>
      </c>
      <c r="S8" s="63" t="s">
        <v>99</v>
      </c>
      <c r="T8" s="198" t="s">
        <v>12</v>
      </c>
      <c r="U8" s="196" t="s">
        <v>61</v>
      </c>
      <c r="V8" s="64" t="s">
        <v>90</v>
      </c>
      <c r="W8" s="28" t="s">
        <v>96</v>
      </c>
      <c r="X8" s="197" t="s">
        <v>65</v>
      </c>
      <c r="Y8" s="197" t="s">
        <v>35</v>
      </c>
      <c r="Z8" s="61" t="s">
        <v>8</v>
      </c>
    </row>
    <row r="9" spans="1:26" ht="83.5" customHeight="1">
      <c r="A9" s="10">
        <v>1</v>
      </c>
      <c r="B9" s="10"/>
      <c r="C9" s="11" t="s">
        <v>118</v>
      </c>
      <c r="D9" s="6"/>
      <c r="E9" s="11"/>
      <c r="F9" s="11"/>
      <c r="G9" s="65"/>
      <c r="H9" s="66"/>
      <c r="I9" s="226">
        <f>Surv[[#This Row],[Column11]]+Surv[[#This Row],[Column12]]</f>
        <v>0</v>
      </c>
      <c r="J9" s="59">
        <v>0</v>
      </c>
      <c r="K9" s="59">
        <v>0</v>
      </c>
      <c r="L9" s="228">
        <f>IFERROR(J9/I9,0)</f>
        <v>0</v>
      </c>
      <c r="M9" s="226">
        <f>Surv[[#This Row],[Column16]]+Surv[[#This Row],[Column17]]</f>
        <v>0</v>
      </c>
      <c r="N9" s="59">
        <v>0</v>
      </c>
      <c r="O9" s="59">
        <v>0</v>
      </c>
      <c r="P9" s="228">
        <f>IFERROR(N9/M9,0)</f>
        <v>0</v>
      </c>
      <c r="Q9" s="231">
        <f>Surv[[#This Row],[Column20]]+Surv[[#This Row],[Column21]]</f>
        <v>0</v>
      </c>
      <c r="R9" s="71">
        <v>0</v>
      </c>
      <c r="S9" s="71">
        <v>0</v>
      </c>
      <c r="T9" s="49">
        <f>IFERROR(R9/Q9,0)</f>
        <v>0</v>
      </c>
      <c r="U9" s="234">
        <f>Surv[[#This Row],[Column30]]+Surv[[#This Row],[Column29]]</f>
        <v>0</v>
      </c>
      <c r="V9" s="74">
        <v>0</v>
      </c>
      <c r="W9" s="71">
        <v>0</v>
      </c>
      <c r="X9" s="49">
        <f>IFERROR(Surv[[#This Row],[Column30]]/Surv[[#This Row],[Column24]],0)</f>
        <v>0</v>
      </c>
      <c r="Y9" s="237">
        <f>IFERROR(Surv[[#This Row],[Column24]]/Surv[[#This Row],[Column19]],0)</f>
        <v>0</v>
      </c>
      <c r="Z9" s="77"/>
    </row>
    <row r="10" spans="1:26" ht="83.5" customHeight="1">
      <c r="A10" s="10">
        <v>2</v>
      </c>
      <c r="B10" s="6"/>
      <c r="C10" s="11" t="s">
        <v>118</v>
      </c>
      <c r="D10" s="6"/>
      <c r="E10" s="11"/>
      <c r="F10" s="11"/>
      <c r="G10" s="36"/>
      <c r="H10" s="78"/>
      <c r="I10" s="227">
        <f>Surv[[#This Row],[Column11]]+Surv[[#This Row],[Column12]]</f>
        <v>0</v>
      </c>
      <c r="J10" s="19">
        <v>0</v>
      </c>
      <c r="K10" s="19">
        <v>0</v>
      </c>
      <c r="L10" s="229">
        <f t="shared" ref="L10:L12" si="0">IFERROR(J10/I10,0)</f>
        <v>0</v>
      </c>
      <c r="M10" s="227">
        <f>Surv[[#This Row],[Column16]]+Surv[[#This Row],[Column17]]</f>
        <v>0</v>
      </c>
      <c r="N10" s="19">
        <v>0</v>
      </c>
      <c r="O10" s="19">
        <v>0</v>
      </c>
      <c r="P10" s="229">
        <f t="shared" ref="P10:P12" si="1">IFERROR(N10/M10,0)</f>
        <v>0</v>
      </c>
      <c r="Q10" s="232">
        <f>Surv[[#This Row],[Column20]]+Surv[[#This Row],[Column21]]</f>
        <v>0</v>
      </c>
      <c r="R10" s="32">
        <v>0</v>
      </c>
      <c r="S10" s="32">
        <v>0</v>
      </c>
      <c r="T10" s="53">
        <f t="shared" ref="T10:T12" si="2">IFERROR(R10/Q10,0)</f>
        <v>0</v>
      </c>
      <c r="U10" s="235">
        <f>Surv[[#This Row],[Column30]]+Surv[[#This Row],[Column29]]</f>
        <v>0</v>
      </c>
      <c r="V10" s="34">
        <v>0</v>
      </c>
      <c r="W10" s="32">
        <v>0</v>
      </c>
      <c r="X10" s="53">
        <f>IFERROR(Surv[[#This Row],[Column30]]/Surv[[#This Row],[Column24]],0)</f>
        <v>0</v>
      </c>
      <c r="Y10" s="238">
        <f>IFERROR(W10/V10,0)</f>
        <v>0</v>
      </c>
      <c r="Z10" s="80"/>
    </row>
    <row r="11" spans="1:26" ht="83.5" customHeight="1">
      <c r="A11" s="10">
        <v>3</v>
      </c>
      <c r="B11" s="10"/>
      <c r="C11" s="11" t="s">
        <v>118</v>
      </c>
      <c r="D11" s="6"/>
      <c r="E11" s="11"/>
      <c r="F11" s="11"/>
      <c r="G11" s="7"/>
      <c r="H11" s="15"/>
      <c r="I11" s="227">
        <f>Surv[[#This Row],[Column11]]+Surv[[#This Row],[Column12]]</f>
        <v>0</v>
      </c>
      <c r="J11" s="19">
        <v>0</v>
      </c>
      <c r="K11" s="19">
        <v>0</v>
      </c>
      <c r="L11" s="229">
        <f t="shared" si="0"/>
        <v>0</v>
      </c>
      <c r="M11" s="227">
        <f>Surv[[#This Row],[Column16]]+Surv[[#This Row],[Column17]]</f>
        <v>0</v>
      </c>
      <c r="N11" s="19">
        <v>0</v>
      </c>
      <c r="O11" s="19">
        <v>0</v>
      </c>
      <c r="P11" s="229">
        <f t="shared" si="1"/>
        <v>0</v>
      </c>
      <c r="Q11" s="232">
        <f>Surv[[#This Row],[Column20]]+Surv[[#This Row],[Column21]]</f>
        <v>0</v>
      </c>
      <c r="R11" s="32">
        <v>0</v>
      </c>
      <c r="S11" s="32">
        <v>0</v>
      </c>
      <c r="T11" s="53">
        <f t="shared" si="2"/>
        <v>0</v>
      </c>
      <c r="U11" s="235">
        <f>Surv[[#This Row],[Column30]]+Surv[[#This Row],[Column29]]</f>
        <v>0</v>
      </c>
      <c r="V11" s="34">
        <v>0</v>
      </c>
      <c r="W11" s="32">
        <v>0</v>
      </c>
      <c r="X11" s="53">
        <f>IFERROR(Surv[[#This Row],[Column30]]/Surv[[#This Row],[Column24]],0)</f>
        <v>0</v>
      </c>
      <c r="Y11" s="238">
        <f>IFERROR(W11/V11,0)</f>
        <v>0</v>
      </c>
      <c r="Z11" s="35"/>
    </row>
    <row r="12" spans="1:26" ht="81" customHeight="1" thickBot="1">
      <c r="A12" s="10">
        <v>4</v>
      </c>
      <c r="B12" s="10"/>
      <c r="C12" s="11"/>
      <c r="D12" s="6"/>
      <c r="E12" s="12"/>
      <c r="F12" s="13"/>
      <c r="G12" s="7"/>
      <c r="H12" s="15"/>
      <c r="I12" s="227">
        <f>Surv[[#This Row],[Column11]]+Surv[[#This Row],[Column12]]</f>
        <v>0</v>
      </c>
      <c r="J12" s="19">
        <v>0</v>
      </c>
      <c r="K12" s="19">
        <v>0</v>
      </c>
      <c r="L12" s="229">
        <f t="shared" si="0"/>
        <v>0</v>
      </c>
      <c r="M12" s="227">
        <f>Surv[[#This Row],[Column16]]+Surv[[#This Row],[Column17]]</f>
        <v>0</v>
      </c>
      <c r="N12" s="19">
        <v>0</v>
      </c>
      <c r="O12" s="19">
        <v>0</v>
      </c>
      <c r="P12" s="229">
        <f t="shared" si="1"/>
        <v>0</v>
      </c>
      <c r="Q12" s="232">
        <f>Surv[[#This Row],[Column20]]+Surv[[#This Row],[Column21]]</f>
        <v>0</v>
      </c>
      <c r="R12" s="32">
        <v>0</v>
      </c>
      <c r="S12" s="32">
        <v>0</v>
      </c>
      <c r="T12" s="53">
        <f t="shared" si="2"/>
        <v>0</v>
      </c>
      <c r="U12" s="235">
        <f>Surv[[#This Row],[Column30]]+Surv[[#This Row],[Column29]]</f>
        <v>0</v>
      </c>
      <c r="V12" s="34">
        <v>0</v>
      </c>
      <c r="W12" s="32">
        <v>0</v>
      </c>
      <c r="X12" s="53">
        <f>IFERROR(Surv[[#This Row],[Column30]]/Surv[[#This Row],[Column24]],0)</f>
        <v>0</v>
      </c>
      <c r="Y12" s="238">
        <f>IFERROR(W12/V12,0)</f>
        <v>0</v>
      </c>
      <c r="Z12" s="9"/>
    </row>
    <row r="13" spans="1:26" s="102" customFormat="1" ht="83.5" customHeight="1" thickBot="1">
      <c r="A13" s="20"/>
      <c r="B13" s="81"/>
      <c r="C13" s="82"/>
      <c r="D13" s="83" t="s">
        <v>59</v>
      </c>
      <c r="E13" s="84"/>
      <c r="F13" s="85"/>
      <c r="G13" s="87"/>
      <c r="H13" s="88"/>
      <c r="I13" s="91">
        <f>SUBTOTAL(109,Surv[Column10])</f>
        <v>0</v>
      </c>
      <c r="J13" s="92">
        <f>SUBTOTAL(109,Surv[Column11])</f>
        <v>0</v>
      </c>
      <c r="K13" s="92">
        <f>SUBTOTAL(109,Surv[Column12])</f>
        <v>0</v>
      </c>
      <c r="L13" s="103">
        <f>IFERROR(Surv[[#Totals],[Column11]]/Surv[[#Totals],[Column10]],0)</f>
        <v>0</v>
      </c>
      <c r="M13" s="91">
        <f>SUBTOTAL(109,Surv[Column15])</f>
        <v>0</v>
      </c>
      <c r="N13" s="89">
        <f>SUBTOTAL(109,Surv[Column16])</f>
        <v>0</v>
      </c>
      <c r="O13" s="89">
        <f>SUBTOTAL(109,Surv[Column17])</f>
        <v>0</v>
      </c>
      <c r="P13" s="103">
        <f>IFERROR(Surv[[#Totals],[Column16]]/Surv[[#Totals],[Column15]],0)</f>
        <v>0</v>
      </c>
      <c r="Q13" s="94">
        <f>SUBTOTAL(109,Surv[Column19])</f>
        <v>0</v>
      </c>
      <c r="R13" s="95">
        <f>SUBTOTAL(109,Surv[Column20])</f>
        <v>0</v>
      </c>
      <c r="S13" s="95">
        <f>SUBTOTAL(109,Surv[Column21])</f>
        <v>0</v>
      </c>
      <c r="T13" s="105">
        <f>IFERROR(Surv[[#Totals],[Column20]]/Surv[[#Totals],[Column19]],0)</f>
        <v>0</v>
      </c>
      <c r="U13" s="97">
        <f>SUBTOTAL(109,Surv[Column24])</f>
        <v>0</v>
      </c>
      <c r="V13" s="98">
        <f>SUBTOTAL(109,Surv[Column30])</f>
        <v>0</v>
      </c>
      <c r="W13" s="95">
        <f>SUBTOTAL(109,Surv[Column29])</f>
        <v>0</v>
      </c>
      <c r="X13" s="106">
        <f>IFERROR(Surv[[#Totals],[Column30]]/Surv[[#Totals],[Column24]],0)</f>
        <v>0</v>
      </c>
      <c r="Y13" s="100">
        <f>IFERROR(Surv[[#Totals],[Column24]]/Surv[[#Totals],[Column19]],0)</f>
        <v>0</v>
      </c>
      <c r="Z13" s="101"/>
    </row>
    <row r="14" spans="1:26">
      <c r="A14" s="5" t="s">
        <v>82</v>
      </c>
    </row>
  </sheetData>
  <sheetProtection formatCells="0" formatRows="0" insertRows="0" deleteRows="0"/>
  <mergeCells count="11">
    <mergeCell ref="M7:P7"/>
    <mergeCell ref="Q7:T7"/>
    <mergeCell ref="U7:Z7"/>
    <mergeCell ref="A6:Z6"/>
    <mergeCell ref="A7:A8"/>
    <mergeCell ref="B7:B8"/>
    <mergeCell ref="C7:C8"/>
    <mergeCell ref="D7:F7"/>
    <mergeCell ref="G7:G8"/>
    <mergeCell ref="H7:H8"/>
    <mergeCell ref="I7:L7"/>
  </mergeCells>
  <dataValidations count="1">
    <dataValidation allowBlank="1" showInputMessage="1" showErrorMessage="1" prompt="Please fill in the cell with text" sqref="B9:F12" xr:uid="{0495CF6A-47BA-4D0E-8253-BD9A634ADB40}"/>
  </dataValidations>
  <pageMargins left="0.7" right="0.7" top="0.75" bottom="0.75" header="0.3" footer="0.3"/>
  <pageSetup paperSize="9" orientation="portrait" verticalDpi="4294967295"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DA13C-B409-443A-8A04-B2E3262725AC}">
  <dimension ref="A1:AC14"/>
  <sheetViews>
    <sheetView zoomScale="55" zoomScaleNormal="55" workbookViewId="0">
      <selection activeCell="K11" sqref="K11"/>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36.1796875" style="2" customWidth="1"/>
    <col min="8" max="8" width="14.54296875" style="2" customWidth="1"/>
    <col min="9" max="9" width="19.81640625" style="2" customWidth="1"/>
    <col min="10" max="10" width="13.7265625" style="2" customWidth="1"/>
    <col min="11" max="11" width="13.54296875" style="2" customWidth="1"/>
    <col min="12" max="14" width="14.81640625" style="2" customWidth="1"/>
    <col min="15" max="15" width="10.36328125" style="2" customWidth="1"/>
    <col min="16" max="16" width="14" style="2" customWidth="1"/>
    <col min="17" max="18" width="14.81640625" style="2" customWidth="1"/>
    <col min="19" max="19" width="9.54296875" style="2" customWidth="1"/>
    <col min="20" max="22" width="15.1796875" style="2" customWidth="1"/>
    <col min="23" max="23" width="9.1796875" style="2" customWidth="1"/>
    <col min="24" max="24" width="17" style="2" customWidth="1"/>
    <col min="25" max="25" width="17.54296875" style="2" customWidth="1"/>
    <col min="26" max="26" width="18.36328125" style="2" customWidth="1"/>
    <col min="27" max="27" width="12.90625" style="2" customWidth="1"/>
    <col min="28" max="28" width="12" style="2" customWidth="1"/>
    <col min="29" max="29" width="35.08984375" style="2" customWidth="1"/>
    <col min="30" max="16384" width="8.7265625" style="21"/>
  </cols>
  <sheetData>
    <row r="1" spans="1:29">
      <c r="Z1" s="21"/>
      <c r="AA1" s="21"/>
      <c r="AB1" s="21"/>
      <c r="AC1" s="21"/>
    </row>
    <row r="2" spans="1:29">
      <c r="B2" s="24"/>
      <c r="C2" s="24"/>
      <c r="Z2" s="21"/>
      <c r="AA2" s="21"/>
      <c r="AB2" s="21"/>
      <c r="AC2" s="21"/>
    </row>
    <row r="3" spans="1:29">
      <c r="B3" s="24"/>
      <c r="C3" s="24"/>
      <c r="Z3" s="21"/>
      <c r="AA3" s="21"/>
      <c r="AB3" s="21"/>
      <c r="AC3" s="21"/>
    </row>
    <row r="4" spans="1:29" hidden="1">
      <c r="B4" s="26"/>
      <c r="C4" s="26"/>
      <c r="Z4" s="21"/>
      <c r="AA4" s="21"/>
      <c r="AB4" s="21"/>
      <c r="AC4" s="21"/>
    </row>
    <row r="5" spans="1:29" hidden="1"/>
    <row r="6" spans="1:29" s="2" customFormat="1" ht="83.5" customHeight="1" thickBot="1">
      <c r="A6" s="318" t="s">
        <v>32</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row>
    <row r="7" spans="1:29" s="2" customFormat="1" ht="83.5" customHeight="1">
      <c r="A7" s="285" t="s">
        <v>6</v>
      </c>
      <c r="B7" s="287" t="s">
        <v>85</v>
      </c>
      <c r="C7" s="283" t="s">
        <v>58</v>
      </c>
      <c r="D7" s="280" t="s">
        <v>7</v>
      </c>
      <c r="E7" s="281"/>
      <c r="F7" s="282"/>
      <c r="G7" s="283" t="s">
        <v>34</v>
      </c>
      <c r="H7" s="292" t="s">
        <v>60</v>
      </c>
      <c r="I7" s="294" t="s">
        <v>66</v>
      </c>
      <c r="J7" s="319" t="s">
        <v>68</v>
      </c>
      <c r="K7" s="320"/>
      <c r="L7" s="280" t="s">
        <v>62</v>
      </c>
      <c r="M7" s="281"/>
      <c r="N7" s="281"/>
      <c r="O7" s="282"/>
      <c r="P7" s="280" t="s">
        <v>69</v>
      </c>
      <c r="Q7" s="281"/>
      <c r="R7" s="281"/>
      <c r="S7" s="282"/>
      <c r="T7" s="289" t="s">
        <v>64</v>
      </c>
      <c r="U7" s="290"/>
      <c r="V7" s="290"/>
      <c r="W7" s="291"/>
      <c r="X7" s="277" t="s">
        <v>86</v>
      </c>
      <c r="Y7" s="278"/>
      <c r="Z7" s="278"/>
      <c r="AA7" s="278"/>
      <c r="AB7" s="278"/>
      <c r="AC7" s="279"/>
    </row>
    <row r="8" spans="1:29" s="2" customFormat="1" ht="83.5" customHeight="1" thickBot="1">
      <c r="A8" s="286"/>
      <c r="B8" s="288"/>
      <c r="C8" s="284"/>
      <c r="D8" s="27" t="s">
        <v>57</v>
      </c>
      <c r="E8" s="28" t="s">
        <v>87</v>
      </c>
      <c r="F8" s="29" t="s">
        <v>88</v>
      </c>
      <c r="G8" s="284"/>
      <c r="H8" s="293"/>
      <c r="I8" s="295"/>
      <c r="J8" s="28" t="s">
        <v>102</v>
      </c>
      <c r="K8" s="62" t="s">
        <v>103</v>
      </c>
      <c r="L8" s="196" t="s">
        <v>0</v>
      </c>
      <c r="M8" s="63" t="s">
        <v>89</v>
      </c>
      <c r="N8" s="63" t="s">
        <v>94</v>
      </c>
      <c r="O8" s="61" t="s">
        <v>12</v>
      </c>
      <c r="P8" s="60" t="s">
        <v>0</v>
      </c>
      <c r="Q8" s="63" t="s">
        <v>89</v>
      </c>
      <c r="R8" s="63" t="s">
        <v>94</v>
      </c>
      <c r="S8" s="61" t="s">
        <v>12</v>
      </c>
      <c r="T8" s="60" t="s">
        <v>61</v>
      </c>
      <c r="U8" s="63" t="s">
        <v>92</v>
      </c>
      <c r="V8" s="63" t="s">
        <v>99</v>
      </c>
      <c r="W8" s="61" t="s">
        <v>12</v>
      </c>
      <c r="X8" s="60" t="s">
        <v>61</v>
      </c>
      <c r="Y8" s="64" t="s">
        <v>90</v>
      </c>
      <c r="Z8" s="28" t="s">
        <v>96</v>
      </c>
      <c r="AA8" s="63" t="s">
        <v>65</v>
      </c>
      <c r="AB8" s="63" t="s">
        <v>35</v>
      </c>
      <c r="AC8" s="61" t="s">
        <v>8</v>
      </c>
    </row>
    <row r="9" spans="1:29" ht="83.5" customHeight="1">
      <c r="A9" s="107">
        <v>1</v>
      </c>
      <c r="B9" s="10"/>
      <c r="C9" s="11" t="s">
        <v>118</v>
      </c>
      <c r="D9" s="6"/>
      <c r="E9" s="11"/>
      <c r="F9" s="11"/>
      <c r="G9" s="14"/>
      <c r="H9" s="65"/>
      <c r="I9" s="66"/>
      <c r="J9" s="59"/>
      <c r="K9" s="59"/>
      <c r="L9" s="226">
        <f>Mod[[#This Row],[Column11]]+Mod[[#This Row],[Column12]]</f>
        <v>0</v>
      </c>
      <c r="M9" s="59">
        <v>0</v>
      </c>
      <c r="N9" s="59">
        <v>0</v>
      </c>
      <c r="O9" s="68">
        <f>IFERROR(M9/L9,0)</f>
        <v>0</v>
      </c>
      <c r="P9" s="67">
        <f>Mod[[#This Row],[Column16]]+Mod[[#This Row],[Column17]]</f>
        <v>0</v>
      </c>
      <c r="Q9" s="59">
        <v>0</v>
      </c>
      <c r="R9" s="59">
        <v>0</v>
      </c>
      <c r="S9" s="68">
        <f>IFERROR(Q9/P9,0)</f>
        <v>0</v>
      </c>
      <c r="T9" s="70">
        <f>Mod[[#This Row],[Column20]]+Mod[[#This Row],[Column21]]</f>
        <v>0</v>
      </c>
      <c r="U9" s="71">
        <v>0</v>
      </c>
      <c r="V9" s="71">
        <v>0</v>
      </c>
      <c r="W9" s="72">
        <f>IFERROR(U9/T9,0)</f>
        <v>0</v>
      </c>
      <c r="X9" s="73">
        <f>Mod[[#This Row],[Column30]]+Mod[[#This Row],[Column29]]</f>
        <v>0</v>
      </c>
      <c r="Y9" s="74">
        <v>0</v>
      </c>
      <c r="Z9" s="71">
        <v>0</v>
      </c>
      <c r="AA9" s="72">
        <f>IFERROR(Mod[[#This Row],[Column30]]/Mod[[#This Row],[Column24]],0)</f>
        <v>0</v>
      </c>
      <c r="AB9" s="76">
        <f>IFERROR(Mod[[#This Row],[Column24]]/Mod[[#This Row],[Column19]],0)</f>
        <v>0</v>
      </c>
      <c r="AC9" s="77"/>
    </row>
    <row r="10" spans="1:29" ht="83.5" customHeight="1">
      <c r="A10" s="6">
        <v>2</v>
      </c>
      <c r="B10" s="6"/>
      <c r="C10" s="11" t="s">
        <v>118</v>
      </c>
      <c r="D10" s="6"/>
      <c r="E10" s="11"/>
      <c r="F10" s="11"/>
      <c r="G10" s="14"/>
      <c r="H10" s="36"/>
      <c r="I10" s="78"/>
      <c r="J10" s="19"/>
      <c r="K10" s="19"/>
      <c r="L10" s="227">
        <f>Mod[[#This Row],[Column11]]+Mod[[#This Row],[Column12]]</f>
        <v>0</v>
      </c>
      <c r="M10" s="19">
        <v>0</v>
      </c>
      <c r="N10" s="19">
        <v>0</v>
      </c>
      <c r="O10" s="16">
        <f t="shared" ref="O10:O12" si="0">IFERROR(M10/L10,0)</f>
        <v>0</v>
      </c>
      <c r="P10" s="30">
        <f>Mod[[#This Row],[Column16]]+Mod[[#This Row],[Column17]]</f>
        <v>0</v>
      </c>
      <c r="Q10" s="19">
        <v>0</v>
      </c>
      <c r="R10" s="19">
        <v>0</v>
      </c>
      <c r="S10" s="16">
        <f t="shared" ref="S10:S12" si="1">IFERROR(Q10/P10,0)</f>
        <v>0</v>
      </c>
      <c r="T10" s="31">
        <f>Mod[[#This Row],[Column20]]+Mod[[#This Row],[Column21]]</f>
        <v>0</v>
      </c>
      <c r="U10" s="32">
        <v>0</v>
      </c>
      <c r="V10" s="32">
        <v>0</v>
      </c>
      <c r="W10" s="17">
        <f t="shared" ref="W10:W12" si="2">IFERROR(U10/T10,0)</f>
        <v>0</v>
      </c>
      <c r="X10" s="33">
        <f>Mod[[#This Row],[Column30]]+Mod[[#This Row],[Column29]]</f>
        <v>0</v>
      </c>
      <c r="Y10" s="34">
        <v>0</v>
      </c>
      <c r="Z10" s="32">
        <v>0</v>
      </c>
      <c r="AA10" s="17">
        <f>IFERROR(Mod[[#This Row],[Column30]]/Mod[[#This Row],[Column24]],0)</f>
        <v>0</v>
      </c>
      <c r="AB10" s="8">
        <f>IFERROR(Z10/Y10,0)</f>
        <v>0</v>
      </c>
      <c r="AC10" s="80"/>
    </row>
    <row r="11" spans="1:29" ht="83.5" customHeight="1">
      <c r="A11" s="6">
        <v>3</v>
      </c>
      <c r="B11" s="10"/>
      <c r="C11" s="11" t="s">
        <v>118</v>
      </c>
      <c r="D11" s="6"/>
      <c r="E11" s="11"/>
      <c r="F11" s="11"/>
      <c r="G11" s="14"/>
      <c r="H11" s="7"/>
      <c r="I11" s="15"/>
      <c r="J11" s="19"/>
      <c r="K11" s="19"/>
      <c r="L11" s="227">
        <f>Mod[[#This Row],[Column11]]+Mod[[#This Row],[Column12]]</f>
        <v>0</v>
      </c>
      <c r="M11" s="19">
        <v>0</v>
      </c>
      <c r="N11" s="19">
        <v>0</v>
      </c>
      <c r="O11" s="16">
        <f t="shared" si="0"/>
        <v>0</v>
      </c>
      <c r="P11" s="30">
        <f>Mod[[#This Row],[Column16]]+Mod[[#This Row],[Column17]]</f>
        <v>0</v>
      </c>
      <c r="Q11" s="19">
        <v>0</v>
      </c>
      <c r="R11" s="19">
        <v>0</v>
      </c>
      <c r="S11" s="16">
        <f t="shared" si="1"/>
        <v>0</v>
      </c>
      <c r="T11" s="31">
        <f>Mod[[#This Row],[Column20]]+Mod[[#This Row],[Column21]]</f>
        <v>0</v>
      </c>
      <c r="U11" s="32">
        <v>0</v>
      </c>
      <c r="V11" s="32">
        <v>0</v>
      </c>
      <c r="W11" s="17">
        <f t="shared" si="2"/>
        <v>0</v>
      </c>
      <c r="X11" s="33">
        <f>Mod[[#This Row],[Column30]]+Mod[[#This Row],[Column29]]</f>
        <v>0</v>
      </c>
      <c r="Y11" s="34">
        <v>0</v>
      </c>
      <c r="Z11" s="32">
        <v>0</v>
      </c>
      <c r="AA11" s="17">
        <f>IFERROR(Mod[[#This Row],[Column30]]/Mod[[#This Row],[Column24]],0)</f>
        <v>0</v>
      </c>
      <c r="AB11" s="8">
        <f>IFERROR(Z11/Y11,0)</f>
        <v>0</v>
      </c>
      <c r="AC11" s="35"/>
    </row>
    <row r="12" spans="1:29" ht="16" thickBot="1">
      <c r="A12" s="6">
        <v>4</v>
      </c>
      <c r="B12" s="10"/>
      <c r="C12" s="11"/>
      <c r="D12" s="6"/>
      <c r="E12" s="12"/>
      <c r="F12" s="13"/>
      <c r="G12" s="14"/>
      <c r="H12" s="7"/>
      <c r="I12" s="15"/>
      <c r="J12" s="19"/>
      <c r="K12" s="19"/>
      <c r="L12" s="227">
        <f>Mod[[#This Row],[Column11]]+Mod[[#This Row],[Column12]]</f>
        <v>0</v>
      </c>
      <c r="M12" s="19">
        <v>0</v>
      </c>
      <c r="N12" s="19">
        <v>0</v>
      </c>
      <c r="O12" s="16">
        <f t="shared" si="0"/>
        <v>0</v>
      </c>
      <c r="P12" s="30">
        <f>Mod[[#This Row],[Column16]]+Mod[[#This Row],[Column17]]</f>
        <v>0</v>
      </c>
      <c r="Q12" s="19">
        <v>0</v>
      </c>
      <c r="R12" s="19">
        <v>0</v>
      </c>
      <c r="S12" s="16">
        <f t="shared" si="1"/>
        <v>0</v>
      </c>
      <c r="T12" s="31">
        <f>Mod[[#This Row],[Column20]]+Mod[[#This Row],[Column21]]</f>
        <v>0</v>
      </c>
      <c r="U12" s="32">
        <v>0</v>
      </c>
      <c r="V12" s="32">
        <v>0</v>
      </c>
      <c r="W12" s="17">
        <f t="shared" si="2"/>
        <v>0</v>
      </c>
      <c r="X12" s="33">
        <f>Mod[[#This Row],[Column30]]+Mod[[#This Row],[Column29]]</f>
        <v>0</v>
      </c>
      <c r="Y12" s="34">
        <v>0</v>
      </c>
      <c r="Z12" s="32">
        <v>0</v>
      </c>
      <c r="AA12" s="17">
        <f>IFERROR(Mod[[#This Row],[Column30]]/Mod[[#This Row],[Column24]],0)</f>
        <v>0</v>
      </c>
      <c r="AB12" s="8">
        <f>IFERROR(Z12/Y12,0)</f>
        <v>0</v>
      </c>
      <c r="AC12" s="9"/>
    </row>
    <row r="13" spans="1:29" s="102" customFormat="1" ht="83.5" customHeight="1" thickBot="1">
      <c r="A13" s="20"/>
      <c r="B13" s="81"/>
      <c r="C13" s="82"/>
      <c r="D13" s="83" t="s">
        <v>59</v>
      </c>
      <c r="E13" s="84"/>
      <c r="F13" s="85"/>
      <c r="G13" s="86"/>
      <c r="H13" s="87"/>
      <c r="I13" s="88"/>
      <c r="J13" s="89"/>
      <c r="K13" s="90"/>
      <c r="L13" s="91">
        <f>SUBTOTAL(109,Mod[Column10])</f>
        <v>0</v>
      </c>
      <c r="M13" s="92">
        <f>SUBTOTAL(109,Mod[Column11])</f>
        <v>0</v>
      </c>
      <c r="N13" s="92">
        <f>SUBTOTAL(109,Mod[Column12])</f>
        <v>0</v>
      </c>
      <c r="O13" s="103">
        <f>IFERROR(Mod[[#Totals],[Column11]]/Mod[[#Totals],[Column10]],0)</f>
        <v>0</v>
      </c>
      <c r="P13" s="91">
        <f>SUBTOTAL(109,Mod[Column15])</f>
        <v>0</v>
      </c>
      <c r="Q13" s="89">
        <f>SUBTOTAL(109,Mod[Column16])</f>
        <v>0</v>
      </c>
      <c r="R13" s="89">
        <f>SUBTOTAL(109,Mod[Column17])</f>
        <v>0</v>
      </c>
      <c r="S13" s="103">
        <f>IFERROR(Mod[[#Totals],[Column16]]/Mod[[#Totals],[Column15]],0)</f>
        <v>0</v>
      </c>
      <c r="T13" s="94">
        <f>SUBTOTAL(109,Mod[Column19])</f>
        <v>0</v>
      </c>
      <c r="U13" s="95">
        <f>SUBTOTAL(109,Mod[Column20])</f>
        <v>0</v>
      </c>
      <c r="V13" s="95">
        <f>SUBTOTAL(109,Mod[Column21])</f>
        <v>0</v>
      </c>
      <c r="W13" s="105">
        <f>IFERROR(Mod[[#Totals],[Column20]]/Mod[[#Totals],[Column19]],0)</f>
        <v>0</v>
      </c>
      <c r="X13" s="97">
        <f>SUBTOTAL(109,Mod[Column24])</f>
        <v>0</v>
      </c>
      <c r="Y13" s="98">
        <f>SUBTOTAL(109,Mod[Column30])</f>
        <v>0</v>
      </c>
      <c r="Z13" s="95">
        <f>SUBTOTAL(109,Mod[Column29])</f>
        <v>0</v>
      </c>
      <c r="AA13" s="108">
        <f>IFERROR(Mod[[#Totals],[Column30]]/Mod[[#Totals],[Column24]],0)</f>
        <v>0</v>
      </c>
      <c r="AB13" s="100">
        <f>IFERROR(Mod[[#Totals],[Column24]]/Mod[[#Totals],[Column19]],0)</f>
        <v>0</v>
      </c>
      <c r="AC13" s="101"/>
    </row>
    <row r="14" spans="1:29">
      <c r="A14" s="5" t="s">
        <v>82</v>
      </c>
    </row>
  </sheetData>
  <sheetProtection formatCells="0" formatRows="0" insertRows="0" deleteRows="0"/>
  <mergeCells count="13">
    <mergeCell ref="P7:S7"/>
    <mergeCell ref="T7:W7"/>
    <mergeCell ref="X7:AC7"/>
    <mergeCell ref="A6:AC6"/>
    <mergeCell ref="A7:A8"/>
    <mergeCell ref="B7:B8"/>
    <mergeCell ref="C7:C8"/>
    <mergeCell ref="D7:F7"/>
    <mergeCell ref="G7:G8"/>
    <mergeCell ref="H7:H8"/>
    <mergeCell ref="I7:I8"/>
    <mergeCell ref="J7:K7"/>
    <mergeCell ref="L7:O7"/>
  </mergeCells>
  <dataValidations count="1">
    <dataValidation allowBlank="1" showInputMessage="1" showErrorMessage="1" prompt="Please fill in the cell with text" sqref="B9:G12" xr:uid="{15F32A74-7B7C-4373-8FE6-EB1FBBF8AC30}"/>
  </dataValidations>
  <pageMargins left="0.7" right="0.7" top="0.75" bottom="0.75" header="0.3" footer="0.3"/>
  <pageSetup paperSize="9" orientation="portrait" verticalDpi="4294967295"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B860A-CE59-410A-A55E-30DA89DD1ACB}">
  <dimension ref="A1:Z14"/>
  <sheetViews>
    <sheetView zoomScale="55" zoomScaleNormal="55" workbookViewId="0">
      <selection activeCell="A10" sqref="A10:XFD10"/>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17.6328125" style="2" customWidth="1"/>
    <col min="8" max="8" width="21" style="2" customWidth="1"/>
    <col min="9" max="11" width="14.81640625" style="2" customWidth="1"/>
    <col min="12" max="12" width="11.6328125" style="2" customWidth="1"/>
    <col min="13" max="13" width="13.6328125" style="2" customWidth="1"/>
    <col min="14" max="15" width="14.81640625" style="2" customWidth="1"/>
    <col min="16" max="16" width="10" style="2" customWidth="1"/>
    <col min="17" max="18" width="15.1796875" style="2" customWidth="1"/>
    <col min="19" max="19" width="17.453125" style="2" customWidth="1"/>
    <col min="20" max="20" width="9.7265625" style="2" customWidth="1"/>
    <col min="21" max="21" width="15.7265625" style="2" customWidth="1"/>
    <col min="22" max="22" width="16.54296875" style="2" customWidth="1"/>
    <col min="23" max="23" width="18" style="2" customWidth="1"/>
    <col min="24" max="24" width="10.90625" style="2" customWidth="1"/>
    <col min="25" max="25" width="10.6328125" style="2" customWidth="1"/>
    <col min="26" max="26" width="41.6328125" style="2" customWidth="1"/>
    <col min="27" max="16384" width="8.7265625" style="21"/>
  </cols>
  <sheetData>
    <row r="1" spans="1:26">
      <c r="W1" s="21"/>
      <c r="X1" s="21"/>
      <c r="Y1" s="21"/>
      <c r="Z1" s="21"/>
    </row>
    <row r="2" spans="1:26">
      <c r="B2" s="24"/>
      <c r="W2" s="21"/>
      <c r="X2" s="21"/>
      <c r="Y2" s="21"/>
      <c r="Z2" s="21"/>
    </row>
    <row r="3" spans="1:26">
      <c r="B3" s="24"/>
      <c r="W3" s="21"/>
      <c r="X3" s="21"/>
      <c r="Y3" s="21"/>
      <c r="Z3" s="21"/>
    </row>
    <row r="4" spans="1:26" hidden="1">
      <c r="B4" s="26"/>
      <c r="W4" s="21"/>
      <c r="X4" s="21"/>
      <c r="Y4" s="21"/>
      <c r="Z4" s="21"/>
    </row>
    <row r="5" spans="1:26" hidden="1"/>
    <row r="6" spans="1:26" s="2" customFormat="1" ht="83.5" customHeight="1" thickBot="1">
      <c r="A6" s="318" t="s">
        <v>33</v>
      </c>
      <c r="B6" s="312"/>
      <c r="C6" s="312"/>
      <c r="D6" s="312"/>
      <c r="E6" s="312"/>
      <c r="F6" s="312"/>
      <c r="G6" s="312"/>
      <c r="H6" s="312"/>
      <c r="I6" s="312"/>
      <c r="J6" s="312"/>
      <c r="K6" s="312"/>
      <c r="L6" s="312"/>
      <c r="M6" s="312"/>
      <c r="N6" s="312"/>
      <c r="O6" s="312"/>
      <c r="P6" s="312"/>
      <c r="Q6" s="312"/>
      <c r="R6" s="312"/>
      <c r="S6" s="312"/>
      <c r="T6" s="312"/>
      <c r="U6" s="312"/>
      <c r="V6" s="312"/>
      <c r="W6" s="312"/>
      <c r="X6" s="312"/>
      <c r="Y6" s="312"/>
      <c r="Z6" s="312"/>
    </row>
    <row r="7" spans="1:26" s="2" customFormat="1" ht="83.5" customHeight="1">
      <c r="A7" s="285" t="s">
        <v>6</v>
      </c>
      <c r="B7" s="287" t="s">
        <v>85</v>
      </c>
      <c r="C7" s="283" t="s">
        <v>58</v>
      </c>
      <c r="D7" s="280" t="s">
        <v>7</v>
      </c>
      <c r="E7" s="281"/>
      <c r="F7" s="282"/>
      <c r="G7" s="292" t="s">
        <v>60</v>
      </c>
      <c r="H7" s="294" t="s">
        <v>66</v>
      </c>
      <c r="I7" s="280" t="s">
        <v>62</v>
      </c>
      <c r="J7" s="281"/>
      <c r="K7" s="281"/>
      <c r="L7" s="282"/>
      <c r="M7" s="280" t="s">
        <v>69</v>
      </c>
      <c r="N7" s="281"/>
      <c r="O7" s="281"/>
      <c r="P7" s="282"/>
      <c r="Q7" s="289" t="s">
        <v>64</v>
      </c>
      <c r="R7" s="290"/>
      <c r="S7" s="290"/>
      <c r="T7" s="291"/>
      <c r="U7" s="277" t="s">
        <v>86</v>
      </c>
      <c r="V7" s="278"/>
      <c r="W7" s="278"/>
      <c r="X7" s="278"/>
      <c r="Y7" s="278"/>
      <c r="Z7" s="279"/>
    </row>
    <row r="8" spans="1:26" s="2" customFormat="1" ht="83.5" customHeight="1" thickBot="1">
      <c r="A8" s="286"/>
      <c r="B8" s="288"/>
      <c r="C8" s="284"/>
      <c r="D8" s="27" t="s">
        <v>57</v>
      </c>
      <c r="E8" s="28" t="s">
        <v>87</v>
      </c>
      <c r="F8" s="29" t="s">
        <v>88</v>
      </c>
      <c r="G8" s="293"/>
      <c r="H8" s="295"/>
      <c r="I8" s="60" t="s">
        <v>0</v>
      </c>
      <c r="J8" s="63" t="s">
        <v>89</v>
      </c>
      <c r="K8" s="63" t="s">
        <v>94</v>
      </c>
      <c r="L8" s="61" t="s">
        <v>12</v>
      </c>
      <c r="M8" s="60" t="s">
        <v>0</v>
      </c>
      <c r="N8" s="63" t="s">
        <v>89</v>
      </c>
      <c r="O8" s="63" t="s">
        <v>94</v>
      </c>
      <c r="P8" s="61" t="s">
        <v>12</v>
      </c>
      <c r="Q8" s="60" t="s">
        <v>61</v>
      </c>
      <c r="R8" s="63" t="s">
        <v>92</v>
      </c>
      <c r="S8" s="63" t="s">
        <v>99</v>
      </c>
      <c r="T8" s="61" t="s">
        <v>12</v>
      </c>
      <c r="U8" s="60" t="s">
        <v>61</v>
      </c>
      <c r="V8" s="64" t="s">
        <v>90</v>
      </c>
      <c r="W8" s="28" t="s">
        <v>96</v>
      </c>
      <c r="X8" s="63" t="s">
        <v>65</v>
      </c>
      <c r="Y8" s="63" t="s">
        <v>35</v>
      </c>
      <c r="Z8" s="61" t="s">
        <v>8</v>
      </c>
    </row>
    <row r="9" spans="1:26" ht="83.5" customHeight="1">
      <c r="A9" s="6">
        <v>1</v>
      </c>
      <c r="B9" s="10"/>
      <c r="C9" s="11" t="s">
        <v>118</v>
      </c>
      <c r="D9" s="6"/>
      <c r="E9" s="11"/>
      <c r="F9" s="11"/>
      <c r="G9" s="65"/>
      <c r="H9" s="66"/>
      <c r="I9" s="67">
        <f>Ship[[#This Row],[Column11]]+Ship[[#This Row],[Column12]]</f>
        <v>0</v>
      </c>
      <c r="J9" s="59">
        <v>0</v>
      </c>
      <c r="K9" s="59">
        <v>0</v>
      </c>
      <c r="L9" s="68">
        <f>IFERROR(J9/I9,0)</f>
        <v>0</v>
      </c>
      <c r="M9" s="67">
        <f>Ship[[#This Row],[Column16]]+Ship[[#This Row],[Column17]]</f>
        <v>0</v>
      </c>
      <c r="N9" s="59">
        <v>0</v>
      </c>
      <c r="O9" s="59">
        <v>0</v>
      </c>
      <c r="P9" s="68">
        <f>IFERROR(N9/M9,0)</f>
        <v>0</v>
      </c>
      <c r="Q9" s="70">
        <f>Ship[[#This Row],[Column20]]+Ship[[#This Row],[Column21]]</f>
        <v>0</v>
      </c>
      <c r="R9" s="71">
        <v>0</v>
      </c>
      <c r="S9" s="71">
        <v>0</v>
      </c>
      <c r="T9" s="72">
        <f>IFERROR(R9/Q9,0)</f>
        <v>0</v>
      </c>
      <c r="U9" s="73">
        <f>Ship[[#This Row],[Column30]]+Ship[[#This Row],[Column29]]</f>
        <v>0</v>
      </c>
      <c r="V9" s="74">
        <v>0</v>
      </c>
      <c r="W9" s="71">
        <v>0</v>
      </c>
      <c r="X9" s="72">
        <f>IFERROR(Ship[[#This Row],[Column30]]/Ship[[#This Row],[Column24]],0)</f>
        <v>0</v>
      </c>
      <c r="Y9" s="76">
        <f>IFERROR(Ship[[#This Row],[Column24]]/Ship[[#This Row],[Column19]],0)</f>
        <v>0</v>
      </c>
      <c r="Z9" s="77"/>
    </row>
    <row r="10" spans="1:26" ht="83.5" customHeight="1">
      <c r="A10" s="6">
        <v>2</v>
      </c>
      <c r="B10" s="6"/>
      <c r="C10" s="11" t="s">
        <v>118</v>
      </c>
      <c r="D10" s="6"/>
      <c r="E10" s="11"/>
      <c r="F10" s="11"/>
      <c r="G10" s="36"/>
      <c r="H10" s="78"/>
      <c r="I10" s="30">
        <f>Ship[[#This Row],[Column11]]+Ship[[#This Row],[Column12]]</f>
        <v>0</v>
      </c>
      <c r="J10" s="19">
        <v>0</v>
      </c>
      <c r="K10" s="19">
        <v>0</v>
      </c>
      <c r="L10" s="16">
        <f>IFERROR(J12/I12,0)</f>
        <v>0</v>
      </c>
      <c r="M10" s="30">
        <f>Ship[[#This Row],[Column16]]+Ship[[#This Row],[Column17]]</f>
        <v>0</v>
      </c>
      <c r="N10" s="19">
        <v>0</v>
      </c>
      <c r="O10" s="19">
        <v>0</v>
      </c>
      <c r="P10" s="16">
        <f t="shared" ref="P10:P12" si="0">IFERROR(N10/M10,0)</f>
        <v>0</v>
      </c>
      <c r="Q10" s="31">
        <f>Ship[[#This Row],[Column20]]+Ship[[#This Row],[Column21]]</f>
        <v>0</v>
      </c>
      <c r="R10" s="32">
        <v>0</v>
      </c>
      <c r="S10" s="32">
        <v>0</v>
      </c>
      <c r="T10" s="17">
        <f t="shared" ref="T10:T12" si="1">IFERROR(R10/Q10,0)</f>
        <v>0</v>
      </c>
      <c r="U10" s="33">
        <f>Ship[[#This Row],[Column30]]+Ship[[#This Row],[Column29]]</f>
        <v>0</v>
      </c>
      <c r="V10" s="34">
        <v>0</v>
      </c>
      <c r="W10" s="32">
        <v>0</v>
      </c>
      <c r="X10" s="17">
        <f>IFERROR(Ship[[#This Row],[Column30]]/Ship[[#This Row],[Column24]],0)</f>
        <v>0</v>
      </c>
      <c r="Y10" s="8">
        <f>IFERROR(W10/V10,0)</f>
        <v>0</v>
      </c>
      <c r="Z10" s="80"/>
    </row>
    <row r="11" spans="1:26" ht="83.5" customHeight="1">
      <c r="A11" s="6">
        <v>3</v>
      </c>
      <c r="B11" s="10"/>
      <c r="C11" s="11" t="s">
        <v>118</v>
      </c>
      <c r="D11" s="6"/>
      <c r="E11" s="11"/>
      <c r="F11" s="11"/>
      <c r="G11" s="7"/>
      <c r="H11" s="15"/>
      <c r="I11" s="30">
        <f>Ship[[#This Row],[Column11]]+Ship[[#This Row],[Column12]]</f>
        <v>0</v>
      </c>
      <c r="J11" s="19">
        <v>0</v>
      </c>
      <c r="K11" s="19">
        <v>0</v>
      </c>
      <c r="L11" s="16">
        <f>IFERROR(J11/I11,0)</f>
        <v>0</v>
      </c>
      <c r="M11" s="30">
        <f>Ship[[#This Row],[Column16]]+Ship[[#This Row],[Column17]]</f>
        <v>0</v>
      </c>
      <c r="N11" s="19">
        <v>0</v>
      </c>
      <c r="O11" s="19">
        <v>0</v>
      </c>
      <c r="P11" s="16">
        <f t="shared" si="0"/>
        <v>0</v>
      </c>
      <c r="Q11" s="31">
        <f>Ship[[#This Row],[Column20]]+Ship[[#This Row],[Column21]]</f>
        <v>0</v>
      </c>
      <c r="R11" s="32">
        <v>0</v>
      </c>
      <c r="S11" s="32">
        <v>0</v>
      </c>
      <c r="T11" s="17">
        <f t="shared" si="1"/>
        <v>0</v>
      </c>
      <c r="U11" s="33">
        <f>Ship[[#This Row],[Column30]]+Ship[[#This Row],[Column29]]</f>
        <v>0</v>
      </c>
      <c r="V11" s="34">
        <v>0</v>
      </c>
      <c r="W11" s="32">
        <v>0</v>
      </c>
      <c r="X11" s="17">
        <f>IFERROR(Ship[[#This Row],[Column30]]/Ship[[#This Row],[Column24]],0)</f>
        <v>0</v>
      </c>
      <c r="Y11" s="8">
        <f>IFERROR(W11/V11,0)</f>
        <v>0</v>
      </c>
      <c r="Z11" s="35"/>
    </row>
    <row r="12" spans="1:26" ht="16" thickBot="1">
      <c r="A12" s="6">
        <v>4</v>
      </c>
      <c r="B12" s="10"/>
      <c r="C12" s="11"/>
      <c r="D12" s="6"/>
      <c r="E12" s="12"/>
      <c r="F12" s="13"/>
      <c r="G12" s="7"/>
      <c r="H12" s="15"/>
      <c r="I12" s="30">
        <f>Ship[[#This Row],[Column11]]+Ship[[#This Row],[Column12]]</f>
        <v>0</v>
      </c>
      <c r="J12" s="19">
        <v>0</v>
      </c>
      <c r="K12" s="19">
        <v>0</v>
      </c>
      <c r="L12" s="16">
        <f>IFERROR(J12/I12,0)</f>
        <v>0</v>
      </c>
      <c r="M12" s="30">
        <f>Ship[[#This Row],[Column16]]+Ship[[#This Row],[Column17]]</f>
        <v>0</v>
      </c>
      <c r="N12" s="19">
        <v>0</v>
      </c>
      <c r="O12" s="19">
        <v>0</v>
      </c>
      <c r="P12" s="16">
        <f t="shared" si="0"/>
        <v>0</v>
      </c>
      <c r="Q12" s="31">
        <f>Ship[[#This Row],[Column20]]+Ship[[#This Row],[Column21]]</f>
        <v>0</v>
      </c>
      <c r="R12" s="32">
        <v>0</v>
      </c>
      <c r="S12" s="32">
        <v>0</v>
      </c>
      <c r="T12" s="17">
        <f t="shared" si="1"/>
        <v>0</v>
      </c>
      <c r="U12" s="33">
        <f>Ship[[#This Row],[Column30]]+Ship[[#This Row],[Column29]]</f>
        <v>0</v>
      </c>
      <c r="V12" s="34">
        <v>0</v>
      </c>
      <c r="W12" s="32">
        <v>0</v>
      </c>
      <c r="X12" s="17">
        <f>IFERROR(Ship[[#This Row],[Column30]]/Ship[[#This Row],[Column24]],0)</f>
        <v>0</v>
      </c>
      <c r="Y12" s="8">
        <f>IFERROR(W12/V12,0)</f>
        <v>0</v>
      </c>
      <c r="Z12" s="9"/>
    </row>
    <row r="13" spans="1:26" s="102" customFormat="1" ht="83.5" customHeight="1" thickBot="1">
      <c r="A13" s="20"/>
      <c r="B13" s="81"/>
      <c r="C13" s="82"/>
      <c r="D13" s="83" t="s">
        <v>59</v>
      </c>
      <c r="E13" s="84"/>
      <c r="F13" s="85"/>
      <c r="G13" s="87"/>
      <c r="H13" s="88"/>
      <c r="I13" s="91">
        <f>SUBTOTAL(109,Ship[Column10])</f>
        <v>0</v>
      </c>
      <c r="J13" s="92">
        <f>SUBTOTAL(109,Ship[Column11])</f>
        <v>0</v>
      </c>
      <c r="K13" s="92">
        <f>SUBTOTAL(109,Ship[Column12])</f>
        <v>0</v>
      </c>
      <c r="L13" s="103">
        <f>IFERROR(Ship[[#Totals],[Column11]]/Ship[[#Totals],[Column10]],0)</f>
        <v>0</v>
      </c>
      <c r="M13" s="91">
        <f>SUBTOTAL(109,Ship[Column15])</f>
        <v>0</v>
      </c>
      <c r="N13" s="89">
        <f>SUBTOTAL(109,Ship[Column16])</f>
        <v>0</v>
      </c>
      <c r="O13" s="89">
        <f>SUBTOTAL(109,Ship[Column17])</f>
        <v>0</v>
      </c>
      <c r="P13" s="104">
        <f>IFERROR(Ship[[#Totals],[Column16]]/Ship[[#Totals],[Column15]],0)</f>
        <v>0</v>
      </c>
      <c r="Q13" s="94">
        <f>SUBTOTAL(109,Ship[Column19])</f>
        <v>0</v>
      </c>
      <c r="R13" s="95">
        <f>SUBTOTAL(109,Ship[Column20])</f>
        <v>0</v>
      </c>
      <c r="S13" s="95">
        <f>SUBTOTAL(109,Ship[Column21])</f>
        <v>0</v>
      </c>
      <c r="T13" s="105">
        <f>IFERROR(Ship[[#Totals],[Column20]]/Ship[[#Totals],[Column19]],0)</f>
        <v>0</v>
      </c>
      <c r="U13" s="97">
        <f>SUBTOTAL(109,Ship[Column24])</f>
        <v>0</v>
      </c>
      <c r="V13" s="98">
        <f>SUBTOTAL(109,Ship[Column30])</f>
        <v>0</v>
      </c>
      <c r="W13" s="95">
        <f>SUBTOTAL(109,Ship[Column29])</f>
        <v>0</v>
      </c>
      <c r="X13" s="106">
        <f>IFERROR(Ship[[#Totals],[Column30]]/Ship[[#Totals],[Column24]],0)</f>
        <v>0</v>
      </c>
      <c r="Y13" s="100">
        <f>IFERROR(Ship[[#Totals],[Column24]]/Ship[[#Totals],[Column19]],0)</f>
        <v>0</v>
      </c>
      <c r="Z13" s="101"/>
    </row>
    <row r="14" spans="1:26">
      <c r="A14" s="5" t="s">
        <v>82</v>
      </c>
    </row>
  </sheetData>
  <sheetProtection formatRows="0" insertRows="0" deleteRows="0"/>
  <mergeCells count="11">
    <mergeCell ref="M7:P7"/>
    <mergeCell ref="Q7:T7"/>
    <mergeCell ref="U7:Z7"/>
    <mergeCell ref="A6:Z6"/>
    <mergeCell ref="A7:A8"/>
    <mergeCell ref="B7:B8"/>
    <mergeCell ref="C7:C8"/>
    <mergeCell ref="D7:F7"/>
    <mergeCell ref="G7:G8"/>
    <mergeCell ref="H7:H8"/>
    <mergeCell ref="I7:L7"/>
  </mergeCells>
  <dataValidations count="1">
    <dataValidation allowBlank="1" showInputMessage="1" showErrorMessage="1" prompt="Please fill in the cell with text" sqref="B9:F12" xr:uid="{9DA4CE30-F7F2-4A49-9AD5-BC459B541548}"/>
  </dataValidations>
  <pageMargins left="0.7" right="0.7" top="0.75" bottom="0.75" header="0.3" footer="0.3"/>
  <pageSetup paperSize="9" orientation="portrait" verticalDpi="4294967295"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7643F-CCF7-41A5-8FCA-F9FC702F3605}">
  <dimension ref="A1:AA14"/>
  <sheetViews>
    <sheetView zoomScale="58" zoomScaleNormal="55" workbookViewId="0">
      <selection activeCell="A4" sqref="A4:XFD5"/>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36.1796875" style="2" customWidth="1"/>
    <col min="8" max="8" width="15" style="2" customWidth="1"/>
    <col min="9" max="9" width="19.54296875" style="2" customWidth="1"/>
    <col min="10" max="12" width="14.81640625" style="2" customWidth="1"/>
    <col min="13" max="13" width="9.90625" style="2" customWidth="1"/>
    <col min="14" max="14" width="14.26953125" style="2" customWidth="1"/>
    <col min="15" max="16" width="14.81640625" style="2" customWidth="1"/>
    <col min="17" max="17" width="9.81640625" style="2" customWidth="1"/>
    <col min="18" max="19" width="15.1796875" style="2" customWidth="1"/>
    <col min="20" max="20" width="16.90625" style="2" customWidth="1"/>
    <col min="21" max="21" width="10.08984375" style="2" customWidth="1"/>
    <col min="22" max="22" width="15.36328125" style="2" customWidth="1"/>
    <col min="23" max="23" width="19.08984375" style="2" customWidth="1"/>
    <col min="24" max="24" width="18" style="2" customWidth="1"/>
    <col min="25" max="25" width="10.81640625" style="2" customWidth="1"/>
    <col min="26" max="26" width="10.26953125" style="2" customWidth="1"/>
    <col min="27" max="27" width="27.7265625" style="2" customWidth="1"/>
    <col min="28" max="16384" width="8.7265625" style="21"/>
  </cols>
  <sheetData>
    <row r="1" spans="1:27">
      <c r="X1" s="21"/>
      <c r="Y1" s="21"/>
      <c r="Z1" s="21"/>
      <c r="AA1" s="21"/>
    </row>
    <row r="2" spans="1:27">
      <c r="B2" s="24"/>
      <c r="C2" s="24"/>
      <c r="X2" s="21"/>
      <c r="Y2" s="21"/>
      <c r="Z2" s="21"/>
      <c r="AA2" s="21"/>
    </row>
    <row r="3" spans="1:27">
      <c r="B3" s="24"/>
      <c r="C3" s="24"/>
      <c r="X3" s="21"/>
      <c r="Y3" s="21"/>
      <c r="Z3" s="21"/>
      <c r="AA3" s="21"/>
    </row>
    <row r="4" spans="1:27" hidden="1">
      <c r="B4" s="26"/>
      <c r="C4" s="26"/>
      <c r="X4" s="21"/>
      <c r="Y4" s="21"/>
      <c r="Z4" s="21"/>
      <c r="AA4" s="21"/>
    </row>
    <row r="5" spans="1:27" hidden="1"/>
    <row r="6" spans="1:27" s="2" customFormat="1" ht="83.5" customHeight="1" thickBot="1">
      <c r="A6" s="318" t="s">
        <v>108</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row>
    <row r="7" spans="1:27" s="2" customFormat="1" ht="83.5" customHeight="1">
      <c r="A7" s="285" t="s">
        <v>6</v>
      </c>
      <c r="B7" s="287" t="s">
        <v>85</v>
      </c>
      <c r="C7" s="283" t="s">
        <v>58</v>
      </c>
      <c r="D7" s="280" t="s">
        <v>7</v>
      </c>
      <c r="E7" s="281"/>
      <c r="F7" s="282"/>
      <c r="G7" s="283" t="s">
        <v>34</v>
      </c>
      <c r="H7" s="292" t="s">
        <v>60</v>
      </c>
      <c r="I7" s="294" t="s">
        <v>66</v>
      </c>
      <c r="J7" s="280" t="s">
        <v>62</v>
      </c>
      <c r="K7" s="281"/>
      <c r="L7" s="281"/>
      <c r="M7" s="282"/>
      <c r="N7" s="280" t="s">
        <v>69</v>
      </c>
      <c r="O7" s="281"/>
      <c r="P7" s="281"/>
      <c r="Q7" s="282"/>
      <c r="R7" s="289" t="s">
        <v>64</v>
      </c>
      <c r="S7" s="290"/>
      <c r="T7" s="290"/>
      <c r="U7" s="291"/>
      <c r="V7" s="277" t="s">
        <v>86</v>
      </c>
      <c r="W7" s="278"/>
      <c r="X7" s="278"/>
      <c r="Y7" s="278"/>
      <c r="Z7" s="278"/>
      <c r="AA7" s="279"/>
    </row>
    <row r="8" spans="1:27" s="2" customFormat="1" ht="83.5" customHeight="1" thickBot="1">
      <c r="A8" s="286"/>
      <c r="B8" s="288"/>
      <c r="C8" s="284"/>
      <c r="D8" s="27" t="s">
        <v>57</v>
      </c>
      <c r="E8" s="28" t="s">
        <v>87</v>
      </c>
      <c r="F8" s="29" t="s">
        <v>88</v>
      </c>
      <c r="G8" s="284"/>
      <c r="H8" s="293"/>
      <c r="I8" s="295"/>
      <c r="J8" s="60" t="s">
        <v>0</v>
      </c>
      <c r="K8" s="63" t="s">
        <v>89</v>
      </c>
      <c r="L8" s="63" t="s">
        <v>94</v>
      </c>
      <c r="M8" s="61" t="s">
        <v>12</v>
      </c>
      <c r="N8" s="60" t="s">
        <v>0</v>
      </c>
      <c r="O8" s="63" t="s">
        <v>89</v>
      </c>
      <c r="P8" s="63" t="s">
        <v>94</v>
      </c>
      <c r="Q8" s="61" t="s">
        <v>12</v>
      </c>
      <c r="R8" s="60" t="s">
        <v>61</v>
      </c>
      <c r="S8" s="63" t="s">
        <v>92</v>
      </c>
      <c r="T8" s="63" t="s">
        <v>99</v>
      </c>
      <c r="U8" s="61" t="s">
        <v>12</v>
      </c>
      <c r="V8" s="60" t="s">
        <v>61</v>
      </c>
      <c r="W8" s="64" t="s">
        <v>90</v>
      </c>
      <c r="X8" s="28" t="s">
        <v>96</v>
      </c>
      <c r="Y8" s="63" t="s">
        <v>65</v>
      </c>
      <c r="Z8" s="63" t="s">
        <v>35</v>
      </c>
      <c r="AA8" s="61" t="s">
        <v>8</v>
      </c>
    </row>
    <row r="9" spans="1:27" ht="62">
      <c r="A9" s="10">
        <v>1</v>
      </c>
      <c r="B9" s="10"/>
      <c r="C9" s="11" t="s">
        <v>118</v>
      </c>
      <c r="D9" s="6"/>
      <c r="E9" s="11"/>
      <c r="F9" s="11"/>
      <c r="G9" s="14"/>
      <c r="H9" s="65"/>
      <c r="I9" s="66"/>
      <c r="J9" s="67">
        <f>Others[[#This Row],[Column11]]+Others[[#This Row],[Column12]]</f>
        <v>0</v>
      </c>
      <c r="K9" s="59">
        <v>0</v>
      </c>
      <c r="L9" s="59">
        <v>0</v>
      </c>
      <c r="M9" s="68">
        <f>IFERROR(K9/J9,0)</f>
        <v>0</v>
      </c>
      <c r="N9" s="67">
        <f>Others[[#This Row],[Column16]]+Others[[#This Row],[Column17]]</f>
        <v>0</v>
      </c>
      <c r="O9" s="59">
        <v>0</v>
      </c>
      <c r="P9" s="59">
        <v>0</v>
      </c>
      <c r="Q9" s="69">
        <f>IFERROR(O9/N9,0)</f>
        <v>0</v>
      </c>
      <c r="R9" s="70">
        <f>Others[[#This Row],[Column20]]+Others[[#This Row],[Column21]]</f>
        <v>0</v>
      </c>
      <c r="S9" s="71">
        <v>0</v>
      </c>
      <c r="T9" s="71">
        <v>0</v>
      </c>
      <c r="U9" s="72">
        <f>IFERROR(S9/R9,0)</f>
        <v>0</v>
      </c>
      <c r="V9" s="73">
        <f>Others[[#This Row],[Column30]]+Others[[#This Row],[Column29]]</f>
        <v>0</v>
      </c>
      <c r="W9" s="74">
        <v>0</v>
      </c>
      <c r="X9" s="71">
        <v>0</v>
      </c>
      <c r="Y9" s="75">
        <f>IFERROR(Others[[#This Row],[Column30]]/Others[[#This Row],[Column24]],0)</f>
        <v>0</v>
      </c>
      <c r="Z9" s="76">
        <f>IFERROR(X9/W9,0)</f>
        <v>0</v>
      </c>
      <c r="AA9" s="77"/>
    </row>
    <row r="10" spans="1:27" ht="83.5" customHeight="1">
      <c r="A10" s="10">
        <v>2</v>
      </c>
      <c r="B10" s="6"/>
      <c r="C10" s="11" t="s">
        <v>118</v>
      </c>
      <c r="D10" s="6"/>
      <c r="E10" s="11"/>
      <c r="F10" s="11"/>
      <c r="G10" s="14"/>
      <c r="H10" s="36"/>
      <c r="I10" s="78"/>
      <c r="J10" s="30">
        <f>Others[[#This Row],[Column11]]+Others[[#This Row],[Column12]]</f>
        <v>0</v>
      </c>
      <c r="K10" s="19">
        <v>0</v>
      </c>
      <c r="L10" s="19">
        <v>0</v>
      </c>
      <c r="M10" s="16">
        <f t="shared" ref="M10:M12" si="0">IFERROR(K10/J10,0)</f>
        <v>0</v>
      </c>
      <c r="N10" s="30">
        <f>Others[[#This Row],[Column16]]+Others[[#This Row],[Column17]]</f>
        <v>0</v>
      </c>
      <c r="O10" s="19">
        <v>0</v>
      </c>
      <c r="P10" s="19">
        <v>0</v>
      </c>
      <c r="Q10" s="79">
        <f t="shared" ref="Q10:Q12" si="1">IFERROR(O10/N10,0)</f>
        <v>0</v>
      </c>
      <c r="R10" s="31">
        <f>Others[[#This Row],[Column20]]+Others[[#This Row],[Column21]]</f>
        <v>0</v>
      </c>
      <c r="S10" s="32">
        <v>0</v>
      </c>
      <c r="T10" s="32">
        <v>0</v>
      </c>
      <c r="U10" s="17">
        <f t="shared" ref="U10:U12" si="2">IFERROR(S10/R10,0)</f>
        <v>0</v>
      </c>
      <c r="V10" s="33">
        <f>Others[[#This Row],[Column30]]+Others[[#This Row],[Column29]]</f>
        <v>0</v>
      </c>
      <c r="W10" s="34">
        <v>0</v>
      </c>
      <c r="X10" s="32">
        <v>0</v>
      </c>
      <c r="Y10" s="18">
        <f>IFERROR(Others[[#This Row],[Column30]]/Others[[#This Row],[Column24]],0)</f>
        <v>0</v>
      </c>
      <c r="Z10" s="8">
        <f>IFERROR(X10/W10,0)</f>
        <v>0</v>
      </c>
      <c r="AA10" s="80"/>
    </row>
    <row r="11" spans="1:27" ht="83.5" customHeight="1">
      <c r="A11" s="10">
        <v>3</v>
      </c>
      <c r="B11" s="10"/>
      <c r="C11" s="11" t="s">
        <v>118</v>
      </c>
      <c r="D11" s="6"/>
      <c r="E11" s="11"/>
      <c r="F11" s="11"/>
      <c r="G11" s="14"/>
      <c r="H11" s="7"/>
      <c r="I11" s="15"/>
      <c r="J11" s="30">
        <f>Others[[#This Row],[Column11]]+Others[[#This Row],[Column12]]</f>
        <v>0</v>
      </c>
      <c r="K11" s="19">
        <v>0</v>
      </c>
      <c r="L11" s="19">
        <v>0</v>
      </c>
      <c r="M11" s="16">
        <f t="shared" si="0"/>
        <v>0</v>
      </c>
      <c r="N11" s="30">
        <f>Others[[#This Row],[Column16]]+Others[[#This Row],[Column17]]</f>
        <v>0</v>
      </c>
      <c r="O11" s="19">
        <v>0</v>
      </c>
      <c r="P11" s="19">
        <v>0</v>
      </c>
      <c r="Q11" s="79">
        <f t="shared" si="1"/>
        <v>0</v>
      </c>
      <c r="R11" s="31">
        <f>Others[[#This Row],[Column20]]+Others[[#This Row],[Column21]]</f>
        <v>0</v>
      </c>
      <c r="S11" s="32">
        <v>0</v>
      </c>
      <c r="T11" s="32">
        <v>0</v>
      </c>
      <c r="U11" s="17">
        <f t="shared" si="2"/>
        <v>0</v>
      </c>
      <c r="V11" s="33">
        <f>Others[[#This Row],[Column30]]+Others[[#This Row],[Column29]]</f>
        <v>0</v>
      </c>
      <c r="W11" s="34">
        <v>0</v>
      </c>
      <c r="X11" s="32">
        <v>0</v>
      </c>
      <c r="Y11" s="18">
        <f>IFERROR(Others[[#This Row],[Column30]]/Others[[#This Row],[Column24]],0)</f>
        <v>0</v>
      </c>
      <c r="Z11" s="8">
        <f>IFERROR(X11/W11,0)</f>
        <v>0</v>
      </c>
      <c r="AA11" s="35"/>
    </row>
    <row r="12" spans="1:27" ht="62.5" thickBot="1">
      <c r="A12" s="10">
        <v>4</v>
      </c>
      <c r="B12" s="10"/>
      <c r="C12" s="11" t="s">
        <v>118</v>
      </c>
      <c r="D12" s="6"/>
      <c r="E12" s="12"/>
      <c r="F12" s="13"/>
      <c r="G12" s="14"/>
      <c r="H12" s="7"/>
      <c r="I12" s="15"/>
      <c r="J12" s="30">
        <f>Others[[#This Row],[Column11]]+Others[[#This Row],[Column12]]</f>
        <v>0</v>
      </c>
      <c r="K12" s="19">
        <v>0</v>
      </c>
      <c r="L12" s="19">
        <v>0</v>
      </c>
      <c r="M12" s="16">
        <f t="shared" si="0"/>
        <v>0</v>
      </c>
      <c r="N12" s="30">
        <f>Others[[#This Row],[Column16]]+Others[[#This Row],[Column17]]</f>
        <v>0</v>
      </c>
      <c r="O12" s="19">
        <v>0</v>
      </c>
      <c r="P12" s="19">
        <v>0</v>
      </c>
      <c r="Q12" s="79">
        <f t="shared" si="1"/>
        <v>0</v>
      </c>
      <c r="R12" s="31">
        <f>Others[[#This Row],[Column20]]+Others[[#This Row],[Column21]]</f>
        <v>0</v>
      </c>
      <c r="S12" s="32">
        <v>0</v>
      </c>
      <c r="T12" s="32">
        <v>0</v>
      </c>
      <c r="U12" s="17">
        <f t="shared" si="2"/>
        <v>0</v>
      </c>
      <c r="V12" s="33">
        <f>Others[[#This Row],[Column30]]+Others[[#This Row],[Column29]]</f>
        <v>0</v>
      </c>
      <c r="W12" s="34">
        <v>0</v>
      </c>
      <c r="X12" s="32">
        <v>0</v>
      </c>
      <c r="Y12" s="18">
        <f>IFERROR(Others[[#This Row],[Column30]]/Others[[#This Row],[Column24]],0)</f>
        <v>0</v>
      </c>
      <c r="Z12" s="8">
        <f>IFERROR(X12/W12,0)</f>
        <v>0</v>
      </c>
      <c r="AA12" s="9"/>
    </row>
    <row r="13" spans="1:27" s="102" customFormat="1" ht="83.5" customHeight="1" thickBot="1">
      <c r="A13" s="20"/>
      <c r="B13" s="81"/>
      <c r="C13" s="82"/>
      <c r="D13" s="83" t="s">
        <v>59</v>
      </c>
      <c r="E13" s="84"/>
      <c r="F13" s="85"/>
      <c r="G13" s="86"/>
      <c r="H13" s="87"/>
      <c r="I13" s="88"/>
      <c r="J13" s="91">
        <f>SUBTOTAL(109,Others[Column10])</f>
        <v>0</v>
      </c>
      <c r="K13" s="92">
        <f>SUBTOTAL(109,Others[Column11])</f>
        <v>0</v>
      </c>
      <c r="L13" s="92">
        <f>SUBTOTAL(109,Others[Column12])</f>
        <v>0</v>
      </c>
      <c r="M13" s="93">
        <f>IFERROR(Others[[#Totals],[Column11]]/Others[[#Totals],[Column10]],0)</f>
        <v>0</v>
      </c>
      <c r="N13" s="91">
        <f>SUBTOTAL(109,Others[Column15])</f>
        <v>0</v>
      </c>
      <c r="O13" s="89">
        <f>SUBTOTAL(109,Others[Column16])</f>
        <v>0</v>
      </c>
      <c r="P13" s="89">
        <f>SUBTOTAL(109,Others[Column17])</f>
        <v>0</v>
      </c>
      <c r="Q13" s="93">
        <f>IFERROR(Others[[#Totals],[Column16]]/Others[[#Totals],[Column15]],0)</f>
        <v>0</v>
      </c>
      <c r="R13" s="94">
        <f>SUBTOTAL(109,Others[Column19])</f>
        <v>0</v>
      </c>
      <c r="S13" s="95">
        <f>SUBTOTAL(109,Others[Column20])</f>
        <v>0</v>
      </c>
      <c r="T13" s="95">
        <f>SUBTOTAL(109,Others[Column21])</f>
        <v>0</v>
      </c>
      <c r="U13" s="96">
        <f>IFERROR(Others[[#Totals],[Column20]]/Others[[#Totals],[Column19]],0)</f>
        <v>0</v>
      </c>
      <c r="V13" s="97">
        <f>SUBTOTAL(109,Others[Column24])</f>
        <v>0</v>
      </c>
      <c r="W13" s="98">
        <f>SUBTOTAL(109,Others[Column30])</f>
        <v>0</v>
      </c>
      <c r="X13" s="95">
        <f>SUBTOTAL(109,Others[Column29])</f>
        <v>0</v>
      </c>
      <c r="Y13" s="99">
        <f>IFERROR(Others[[#Totals],[Column30]]/Others[[#Totals],[Column24]],0)</f>
        <v>0</v>
      </c>
      <c r="Z13" s="100">
        <f>IFERROR(Others[[#Totals],[Column24]]/Others[[#Totals],[Column19]],0)</f>
        <v>0</v>
      </c>
      <c r="AA13" s="101"/>
    </row>
    <row r="14" spans="1:27">
      <c r="A14" s="5" t="s">
        <v>82</v>
      </c>
    </row>
  </sheetData>
  <sheetProtection formatRows="0" insertRows="0" deleteRows="0"/>
  <mergeCells count="12">
    <mergeCell ref="N7:Q7"/>
    <mergeCell ref="R7:U7"/>
    <mergeCell ref="V7:AA7"/>
    <mergeCell ref="A6:AA6"/>
    <mergeCell ref="A7:A8"/>
    <mergeCell ref="B7:B8"/>
    <mergeCell ref="C7:C8"/>
    <mergeCell ref="D7:F7"/>
    <mergeCell ref="G7:G8"/>
    <mergeCell ref="H7:H8"/>
    <mergeCell ref="I7:I8"/>
    <mergeCell ref="J7:M7"/>
  </mergeCells>
  <dataValidations count="1">
    <dataValidation allowBlank="1" showInputMessage="1" showErrorMessage="1" prompt="Please fill in the cell with text" sqref="B9:G12" xr:uid="{52F52F0F-2CE8-4143-81C4-3611DF04106C}"/>
  </dataValidations>
  <pageMargins left="0.7" right="0.7" top="0.75" bottom="0.75" header="0.3" footer="0.3"/>
  <pageSetup paperSize="9" orientation="portrait"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D81FD-48FD-4B84-B0A1-654130B86A29}">
  <dimension ref="A1:Z13"/>
  <sheetViews>
    <sheetView tabSelected="1" view="pageBreakPreview" zoomScale="47" zoomScaleNormal="79" zoomScaleSheetLayoutView="55" workbookViewId="0">
      <selection activeCell="A8" sqref="A8:T8"/>
    </sheetView>
  </sheetViews>
  <sheetFormatPr defaultColWidth="9.1796875" defaultRowHeight="15.5"/>
  <cols>
    <col min="1" max="1" width="10.90625" style="2" customWidth="1"/>
    <col min="2" max="2" width="49.54296875" style="2" customWidth="1"/>
    <col min="3" max="3" width="49" style="2" customWidth="1"/>
    <col min="4" max="4" width="34.7265625" style="2" customWidth="1"/>
    <col min="5" max="5" width="28.36328125" style="2" customWidth="1"/>
    <col min="6" max="6" width="20.7265625" style="2" customWidth="1"/>
    <col min="7" max="7" width="21.90625" style="2" customWidth="1"/>
    <col min="8" max="8" width="25.81640625" style="2" customWidth="1"/>
    <col min="9" max="9" width="11.81640625" style="2" customWidth="1"/>
    <col min="10" max="10" width="28.36328125" style="2" customWidth="1"/>
    <col min="11" max="11" width="15.81640625" style="2" customWidth="1"/>
    <col min="12" max="12" width="8.54296875" style="2" customWidth="1"/>
    <col min="13" max="13" width="12" style="2" customWidth="1"/>
    <col min="14" max="14" width="11.7265625" style="2" customWidth="1"/>
    <col min="15" max="15" width="13.6328125" style="2" customWidth="1"/>
    <col min="16" max="16" width="11.26953125" style="2" customWidth="1"/>
    <col min="17" max="17" width="11.81640625" style="2" customWidth="1"/>
    <col min="18" max="18" width="15.08984375" style="2" customWidth="1"/>
    <col min="19" max="19" width="15.26953125" style="2" customWidth="1"/>
    <col min="20" max="20" width="10.6328125" style="2" customWidth="1"/>
    <col min="21" max="21" width="11.1796875" style="2" customWidth="1"/>
    <col min="22" max="22" width="13.1796875" style="2" customWidth="1"/>
    <col min="23" max="23" width="14.7265625" style="2" customWidth="1"/>
    <col min="24" max="25" width="9.1796875" style="2"/>
    <col min="26" max="26" width="13.453125" style="2" customWidth="1"/>
    <col min="27" max="16384" width="9.1796875" style="2"/>
  </cols>
  <sheetData>
    <row r="1" spans="1:26" ht="16" thickBot="1">
      <c r="B1" s="5" t="s">
        <v>120</v>
      </c>
      <c r="C1" s="39"/>
      <c r="D1" s="39"/>
      <c r="E1" s="39"/>
      <c r="F1" s="39"/>
    </row>
    <row r="2" spans="1:26" ht="16" thickBot="1">
      <c r="B2" s="22" t="s">
        <v>73</v>
      </c>
      <c r="C2" s="115"/>
      <c r="D2" s="23" t="s">
        <v>71</v>
      </c>
      <c r="E2" s="113"/>
      <c r="F2" s="39"/>
    </row>
    <row r="3" spans="1:26" ht="16" thickBot="1">
      <c r="B3" s="116" t="s">
        <v>70</v>
      </c>
      <c r="C3" s="115"/>
      <c r="D3" s="116" t="s">
        <v>72</v>
      </c>
      <c r="E3" s="113"/>
      <c r="F3" s="39"/>
    </row>
    <row r="4" spans="1:26" ht="16" thickBot="1">
      <c r="B4" s="117" t="s">
        <v>74</v>
      </c>
      <c r="C4" s="118"/>
      <c r="D4" s="111" t="s">
        <v>75</v>
      </c>
      <c r="E4" s="123"/>
      <c r="F4" s="39"/>
      <c r="G4" s="325" t="s">
        <v>123</v>
      </c>
    </row>
    <row r="5" spans="1:26" ht="22" customHeight="1" thickBot="1">
      <c r="B5" s="26"/>
      <c r="C5" s="112"/>
      <c r="D5" s="111" t="s">
        <v>111</v>
      </c>
      <c r="E5" s="123"/>
      <c r="F5" s="39"/>
    </row>
    <row r="6" spans="1:26" ht="16" thickBot="1">
      <c r="B6" s="26"/>
      <c r="C6" s="40"/>
      <c r="D6" s="25" t="s">
        <v>12</v>
      </c>
      <c r="E6" s="114"/>
      <c r="F6" s="5"/>
    </row>
    <row r="7" spans="1:26" ht="34" customHeight="1" thickBot="1">
      <c r="B7" s="324" t="s">
        <v>124</v>
      </c>
      <c r="C7" s="40"/>
      <c r="D7" s="5"/>
      <c r="E7" s="122"/>
      <c r="F7" s="39"/>
    </row>
    <row r="8" spans="1:26" ht="384" customHeight="1" thickBot="1">
      <c r="A8" s="323" t="s">
        <v>140</v>
      </c>
      <c r="B8" s="321"/>
      <c r="C8" s="321"/>
      <c r="D8" s="321"/>
      <c r="E8" s="321"/>
      <c r="F8" s="321"/>
      <c r="G8" s="321"/>
      <c r="H8" s="321"/>
      <c r="I8" s="321"/>
      <c r="J8" s="321"/>
      <c r="K8" s="321"/>
      <c r="L8" s="321"/>
      <c r="M8" s="321"/>
      <c r="N8" s="321"/>
      <c r="O8" s="321"/>
      <c r="P8" s="321"/>
      <c r="Q8" s="321"/>
      <c r="R8" s="321"/>
      <c r="S8" s="321"/>
      <c r="T8" s="322"/>
      <c r="U8" s="240"/>
      <c r="V8" s="240"/>
      <c r="W8" s="240"/>
      <c r="X8" s="240"/>
      <c r="Y8" s="240"/>
      <c r="Z8" s="241"/>
    </row>
    <row r="9" spans="1:26" ht="98.5" customHeight="1">
      <c r="A9" s="285" t="s">
        <v>6</v>
      </c>
      <c r="B9" s="287" t="s">
        <v>139</v>
      </c>
      <c r="C9" s="283" t="s">
        <v>58</v>
      </c>
      <c r="D9" s="280" t="s">
        <v>7</v>
      </c>
      <c r="E9" s="281"/>
      <c r="F9" s="282"/>
      <c r="G9" s="292" t="s">
        <v>60</v>
      </c>
      <c r="H9" s="294" t="s">
        <v>66</v>
      </c>
      <c r="I9" s="280" t="s">
        <v>133</v>
      </c>
      <c r="J9" s="281"/>
      <c r="K9" s="281"/>
      <c r="L9" s="282"/>
      <c r="M9" s="280" t="s">
        <v>132</v>
      </c>
      <c r="N9" s="281"/>
      <c r="O9" s="281"/>
      <c r="P9" s="282"/>
      <c r="Q9" s="289" t="s">
        <v>135</v>
      </c>
      <c r="R9" s="290"/>
      <c r="S9" s="290"/>
      <c r="T9" s="291"/>
      <c r="U9" s="277" t="s">
        <v>134</v>
      </c>
      <c r="V9" s="278"/>
      <c r="W9" s="278"/>
      <c r="X9" s="278"/>
      <c r="Y9" s="278"/>
      <c r="Z9" s="279"/>
    </row>
    <row r="10" spans="1:26" ht="54.5" thickBot="1">
      <c r="A10" s="286"/>
      <c r="B10" s="288"/>
      <c r="C10" s="284"/>
      <c r="D10" s="27" t="s">
        <v>57</v>
      </c>
      <c r="E10" s="28" t="s">
        <v>87</v>
      </c>
      <c r="F10" s="29" t="s">
        <v>88</v>
      </c>
      <c r="G10" s="293"/>
      <c r="H10" s="295"/>
      <c r="I10" s="60" t="s">
        <v>0</v>
      </c>
      <c r="J10" s="63" t="s">
        <v>89</v>
      </c>
      <c r="K10" s="63" t="s">
        <v>94</v>
      </c>
      <c r="L10" s="61" t="s">
        <v>12</v>
      </c>
      <c r="M10" s="60" t="s">
        <v>0</v>
      </c>
      <c r="N10" s="63" t="s">
        <v>89</v>
      </c>
      <c r="O10" s="63" t="s">
        <v>94</v>
      </c>
      <c r="P10" s="61" t="s">
        <v>12</v>
      </c>
      <c r="Q10" s="60" t="s">
        <v>61</v>
      </c>
      <c r="R10" s="63" t="s">
        <v>92</v>
      </c>
      <c r="S10" s="63" t="s">
        <v>99</v>
      </c>
      <c r="T10" s="61" t="s">
        <v>12</v>
      </c>
      <c r="U10" s="60" t="s">
        <v>61</v>
      </c>
      <c r="V10" s="64" t="s">
        <v>90</v>
      </c>
      <c r="W10" s="28" t="s">
        <v>96</v>
      </c>
      <c r="X10" s="63" t="s">
        <v>65</v>
      </c>
      <c r="Y10" s="63" t="s">
        <v>35</v>
      </c>
      <c r="Z10" s="61" t="s">
        <v>8</v>
      </c>
    </row>
    <row r="11" spans="1:26" s="1" customFormat="1" ht="219" customHeight="1">
      <c r="A11" s="6">
        <v>1</v>
      </c>
      <c r="B11" s="250" t="s">
        <v>131</v>
      </c>
      <c r="C11" s="250" t="s">
        <v>136</v>
      </c>
      <c r="D11" s="250" t="s">
        <v>130</v>
      </c>
      <c r="E11" s="250" t="s">
        <v>129</v>
      </c>
      <c r="F11" s="250" t="s">
        <v>128</v>
      </c>
      <c r="G11" s="250" t="s">
        <v>127</v>
      </c>
      <c r="H11" s="250" t="s">
        <v>126</v>
      </c>
      <c r="I11" s="67">
        <f>Eng_21[[#This Row],[Column11]]+Eng_21[[#This Row],[Column12]]</f>
        <v>0</v>
      </c>
      <c r="J11" s="59">
        <v>0</v>
      </c>
      <c r="K11" s="59">
        <v>0</v>
      </c>
      <c r="L11" s="68">
        <f>IFERROR(J11/I11,0)</f>
        <v>0</v>
      </c>
      <c r="M11" s="67">
        <f>Eng_21[[#This Row],[Column16]]+Eng_21[[#This Row],[Column17]]</f>
        <v>0</v>
      </c>
      <c r="N11" s="59">
        <v>0</v>
      </c>
      <c r="O11" s="59">
        <v>0</v>
      </c>
      <c r="P11" s="68">
        <f>IFERROR(N11/M11,0)</f>
        <v>0</v>
      </c>
      <c r="Q11" s="70">
        <f>Eng_21[[#This Row],[Column20]]+Eng_21[[#This Row],[Column21]]</f>
        <v>0</v>
      </c>
      <c r="R11" s="71">
        <v>0</v>
      </c>
      <c r="S11" s="71">
        <v>0</v>
      </c>
      <c r="T11" s="72">
        <f>IFERROR(R11/Q11,0)</f>
        <v>0</v>
      </c>
      <c r="U11" s="73">
        <f>Eng_21[[#This Row],[Column30]]+Eng_21[[#This Row],[Column29]]</f>
        <v>0</v>
      </c>
      <c r="V11" s="71">
        <v>0</v>
      </c>
      <c r="W11" s="71">
        <v>0</v>
      </c>
      <c r="X11" s="72">
        <f>IFERROR(Eng_21[[#This Row],[Column30]]/Eng_21[[#This Row],[Column24]],0)</f>
        <v>0</v>
      </c>
      <c r="Y11" s="76">
        <f>IFERROR(Eng_21[[#This Row],[Column24]]/Eng_21[[#This Row],[Column19]],0)</f>
        <v>0</v>
      </c>
      <c r="Z11" s="58"/>
    </row>
    <row r="12" spans="1:26" ht="146.5" customHeight="1" thickBot="1">
      <c r="A12" s="6">
        <v>2</v>
      </c>
      <c r="B12" s="248"/>
      <c r="C12" s="249"/>
      <c r="D12" s="248"/>
      <c r="E12" s="248"/>
      <c r="F12" s="248"/>
      <c r="G12" s="248"/>
      <c r="H12" s="248"/>
      <c r="I12" s="30">
        <f>Eng_21[[#This Row],[Column11]]+Eng_21[[#This Row],[Column12]]</f>
        <v>0</v>
      </c>
      <c r="J12" s="59">
        <v>0</v>
      </c>
      <c r="K12" s="59">
        <v>0</v>
      </c>
      <c r="L12" s="16">
        <f t="shared" ref="L12" si="0">IFERROR(J12/I12,0)</f>
        <v>0</v>
      </c>
      <c r="M12" s="30">
        <f>Eng_21[[#This Row],[Column16]]+Eng_21[[#This Row],[Column17]]</f>
        <v>0</v>
      </c>
      <c r="N12" s="59">
        <v>0</v>
      </c>
      <c r="O12" s="59">
        <v>0</v>
      </c>
      <c r="P12" s="16">
        <f>IFERROR(#REF!/#REF!,0)</f>
        <v>0</v>
      </c>
      <c r="Q12" s="31">
        <f>Eng_21[[#This Row],[Column20]]+Eng_21[[#This Row],[Column21]]</f>
        <v>0</v>
      </c>
      <c r="R12" s="71">
        <v>0</v>
      </c>
      <c r="S12" s="71">
        <v>0</v>
      </c>
      <c r="T12" s="17">
        <f t="shared" ref="T12" si="1">IFERROR(R12/Q12,0)</f>
        <v>0</v>
      </c>
      <c r="U12" s="33">
        <f>Eng_21[[#This Row],[Column30]]+Eng_21[[#This Row],[Column29]]</f>
        <v>0</v>
      </c>
      <c r="V12" s="71">
        <v>0</v>
      </c>
      <c r="W12" s="71">
        <v>0</v>
      </c>
      <c r="X12" s="17">
        <f>IFERROR(Eng_21[[#This Row],[Column30]]/Eng_21[[#This Row],[Column24]],0)</f>
        <v>0</v>
      </c>
      <c r="Y12" s="8">
        <f t="shared" ref="Y12" si="2">IFERROR(W12/V12,0)</f>
        <v>0</v>
      </c>
      <c r="Z12" s="35"/>
    </row>
    <row r="13" spans="1:26" ht="28" thickBot="1">
      <c r="A13" s="20"/>
      <c r="B13" s="81"/>
      <c r="C13" s="82"/>
      <c r="D13" s="83" t="s">
        <v>59</v>
      </c>
      <c r="E13" s="84"/>
      <c r="F13" s="85"/>
      <c r="G13" s="87"/>
      <c r="H13" s="88"/>
      <c r="I13" s="91">
        <f>SUBTOTAL(109,Eng_21[Column10])</f>
        <v>0</v>
      </c>
      <c r="J13" s="92">
        <f>SUBTOTAL(109,Eng_21[Column11])</f>
        <v>0</v>
      </c>
      <c r="K13" s="92">
        <f>SUBTOTAL(109,Eng_21[Column12])</f>
        <v>0</v>
      </c>
      <c r="L13" s="103">
        <f>IFERROR(Eng_21[[#Totals],[Column11]]/Eng_21[[#Totals],[Column10]],0)</f>
        <v>0</v>
      </c>
      <c r="M13" s="91">
        <f>SUBTOTAL(109,Eng_21[Column15])</f>
        <v>0</v>
      </c>
      <c r="N13" s="89">
        <f>SUBTOTAL(109,Eng_21[Column16])</f>
        <v>0</v>
      </c>
      <c r="O13" s="89">
        <f>SUBTOTAL(109,Eng_21[Column17])</f>
        <v>0</v>
      </c>
      <c r="P13" s="103">
        <f>IFERROR(Eng_21[[#Totals],[Column16]]/Eng_21[[#Totals],[Column15]],0)</f>
        <v>0</v>
      </c>
      <c r="Q13" s="94">
        <f>SUBTOTAL(109,Eng_21[Column19])</f>
        <v>0</v>
      </c>
      <c r="R13" s="95">
        <f>SUBTOTAL(109,Eng_21[Column20])</f>
        <v>0</v>
      </c>
      <c r="S13" s="95">
        <f>SUBTOTAL(109,Eng_21[Column21])</f>
        <v>0</v>
      </c>
      <c r="T13" s="105">
        <f>IFERROR(Eng_21[[#Totals],[Column20]]/Eng_21[[#Totals],[Column19]],0)</f>
        <v>0</v>
      </c>
      <c r="U13" s="97">
        <f>SUBTOTAL(109,Eng_21[Column24])</f>
        <v>0</v>
      </c>
      <c r="V13" s="98">
        <f>SUBTOTAL(109,Eng_21[Column30])</f>
        <v>0</v>
      </c>
      <c r="W13" s="95">
        <f>SUBTOTAL(109,Eng_21[Column29])</f>
        <v>0</v>
      </c>
      <c r="X13" s="108">
        <f>IFERROR(Eng_21[[#Totals],[Column30]]/Eng_21[[#Totals],[Column24]],0)</f>
        <v>0</v>
      </c>
      <c r="Y13" s="100">
        <f>IFERROR(Eng_21[[#Totals],[Column24]]/Eng_21[[#Totals],[Column19]],0)</f>
        <v>0</v>
      </c>
      <c r="Z13" s="101"/>
    </row>
  </sheetData>
  <sheetProtection formatCells="0" formatColumns="0" formatRows="0" insertRows="0" deleteRows="0"/>
  <mergeCells count="11">
    <mergeCell ref="U9:Z9"/>
    <mergeCell ref="D9:F9"/>
    <mergeCell ref="C9:C10"/>
    <mergeCell ref="A8:T8"/>
    <mergeCell ref="A9:A10"/>
    <mergeCell ref="B9:B10"/>
    <mergeCell ref="I9:L9"/>
    <mergeCell ref="M9:P9"/>
    <mergeCell ref="Q9:T9"/>
    <mergeCell ref="G9:G10"/>
    <mergeCell ref="H9:H10"/>
  </mergeCells>
  <pageMargins left="0.7" right="0.7" top="0.75" bottom="0.75" header="0.3" footer="0.3"/>
  <pageSetup scale="93" orientation="portrait" horizontalDpi="4294967295" verticalDpi="4294967295" r:id="rId1"/>
  <colBreaks count="3" manualBreakCount="3">
    <brk id="6" max="12" man="1"/>
    <brk id="10" max="12" man="1"/>
    <brk id="18" max="12" man="1"/>
  </col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E737F-4D2F-41C1-A557-B0F27C5158FD}">
  <dimension ref="A1:S47"/>
  <sheetViews>
    <sheetView view="pageBreakPreview" zoomScale="50" zoomScaleNormal="55" zoomScaleSheetLayoutView="50" workbookViewId="0">
      <selection activeCell="C10" sqref="C10"/>
    </sheetView>
  </sheetViews>
  <sheetFormatPr defaultColWidth="9.1796875" defaultRowHeight="15.5"/>
  <cols>
    <col min="1" max="1" width="9.6328125" style="2" customWidth="1"/>
    <col min="2" max="2" width="60" style="2" customWidth="1"/>
    <col min="3" max="3" width="25" style="2" customWidth="1"/>
    <col min="4" max="4" width="31.81640625" style="2" customWidth="1"/>
    <col min="5" max="5" width="25.453125" style="2" customWidth="1"/>
    <col min="6" max="6" width="12.1796875" style="2" customWidth="1"/>
    <col min="7" max="7" width="10.6328125" style="2" customWidth="1"/>
    <col min="8" max="8" width="12.36328125" style="2" customWidth="1"/>
    <col min="9" max="9" width="14.453125" style="2" customWidth="1"/>
    <col min="10" max="10" width="7.54296875" style="2" customWidth="1"/>
    <col min="11" max="11" width="17.1796875" style="2" customWidth="1"/>
    <col min="12" max="12" width="17.7265625" style="2" customWidth="1"/>
    <col min="13" max="13" width="16.7265625" style="2" customWidth="1"/>
    <col min="14" max="14" width="7.54296875" style="2" customWidth="1"/>
    <col min="15" max="15" width="15" style="2" customWidth="1"/>
    <col min="16" max="16" width="16.7265625" style="2" customWidth="1"/>
    <col min="17" max="17" width="17.26953125" style="2" customWidth="1"/>
    <col min="18" max="18" width="7.54296875" style="2" customWidth="1"/>
    <col min="19" max="19" width="13" style="2" customWidth="1"/>
    <col min="20" max="16384" width="9.1796875" style="2"/>
  </cols>
  <sheetData>
    <row r="1" spans="1:19" s="1" customFormat="1" ht="16" thickBot="1">
      <c r="B1" s="124" t="s">
        <v>121</v>
      </c>
      <c r="C1" s="125"/>
      <c r="D1" s="125"/>
      <c r="E1" s="125"/>
    </row>
    <row r="2" spans="1:19" s="1" customFormat="1" ht="16" thickBot="1">
      <c r="B2" s="126" t="s">
        <v>73</v>
      </c>
      <c r="C2" s="127">
        <f>IFERROR('Instruction '!C2,"-")</f>
        <v>0</v>
      </c>
      <c r="D2" s="128" t="s">
        <v>71</v>
      </c>
      <c r="E2" s="129">
        <f>'Instruction '!E2</f>
        <v>0</v>
      </c>
    </row>
    <row r="3" spans="1:19" s="1" customFormat="1" ht="16" thickBot="1">
      <c r="B3" s="130" t="s">
        <v>70</v>
      </c>
      <c r="C3" s="127">
        <f>IFERROR('Instruction '!C3,"-")</f>
        <v>0</v>
      </c>
      <c r="D3" s="130" t="s">
        <v>72</v>
      </c>
      <c r="E3" s="129">
        <f>'Instruction '!E3</f>
        <v>0</v>
      </c>
    </row>
    <row r="4" spans="1:19" s="1" customFormat="1" ht="23.5" customHeight="1" thickBot="1">
      <c r="B4" s="131" t="s">
        <v>74</v>
      </c>
      <c r="C4" s="132">
        <f>IFERROR('Instruction '!C4,"-")</f>
        <v>0</v>
      </c>
      <c r="D4" s="133" t="s">
        <v>75</v>
      </c>
      <c r="E4" s="195">
        <f>'Instruction '!E4</f>
        <v>0</v>
      </c>
    </row>
    <row r="5" spans="1:19" s="1" customFormat="1" ht="26.5" customHeight="1" thickBot="1">
      <c r="B5" s="135"/>
      <c r="C5" s="136"/>
      <c r="D5" s="133" t="s">
        <v>111</v>
      </c>
      <c r="E5" s="195">
        <f>'Instruction '!E5</f>
        <v>0</v>
      </c>
    </row>
    <row r="6" spans="1:19" s="1" customFormat="1" ht="24" customHeight="1" thickBot="1">
      <c r="B6" s="135"/>
      <c r="C6" s="137"/>
      <c r="D6" s="138" t="s">
        <v>12</v>
      </c>
      <c r="E6" s="139">
        <f>'Instruction '!E6</f>
        <v>0</v>
      </c>
    </row>
    <row r="7" spans="1:19" ht="33" customHeight="1">
      <c r="A7" s="5" t="s">
        <v>83</v>
      </c>
    </row>
    <row r="8" spans="1:19" ht="56.5" customHeight="1" thickBot="1">
      <c r="A8" s="298" t="s">
        <v>125</v>
      </c>
      <c r="B8" s="298"/>
      <c r="C8" s="298"/>
      <c r="D8" s="298"/>
      <c r="E8" s="298"/>
      <c r="F8" s="298"/>
      <c r="G8" s="298"/>
      <c r="H8" s="298"/>
      <c r="I8" s="298"/>
      <c r="J8" s="298"/>
      <c r="K8" s="298"/>
      <c r="L8" s="298"/>
      <c r="M8" s="298"/>
      <c r="N8" s="299"/>
      <c r="O8" s="299"/>
      <c r="P8" s="300"/>
      <c r="Q8" s="300"/>
      <c r="R8" s="300"/>
      <c r="S8" s="301"/>
    </row>
    <row r="9" spans="1:19" ht="83.5" customHeight="1">
      <c r="A9" s="285" t="s">
        <v>6</v>
      </c>
      <c r="B9" s="287" t="s">
        <v>56</v>
      </c>
      <c r="C9" s="302" t="s">
        <v>84</v>
      </c>
      <c r="D9" s="303"/>
      <c r="E9" s="303"/>
      <c r="F9" s="304"/>
      <c r="G9" s="302" t="s">
        <v>69</v>
      </c>
      <c r="H9" s="303"/>
      <c r="I9" s="303"/>
      <c r="J9" s="304"/>
      <c r="K9" s="305" t="s">
        <v>64</v>
      </c>
      <c r="L9" s="306"/>
      <c r="M9" s="306"/>
      <c r="N9" s="306"/>
      <c r="O9" s="307" t="s">
        <v>86</v>
      </c>
      <c r="P9" s="308"/>
      <c r="Q9" s="308"/>
      <c r="R9" s="308"/>
      <c r="S9" s="309"/>
    </row>
    <row r="10" spans="1:19" ht="83.5" customHeight="1" thickBot="1">
      <c r="A10" s="286"/>
      <c r="B10" s="288"/>
      <c r="C10" s="196" t="s">
        <v>0</v>
      </c>
      <c r="D10" s="197" t="s">
        <v>93</v>
      </c>
      <c r="E10" s="197" t="s">
        <v>94</v>
      </c>
      <c r="F10" s="198" t="s">
        <v>12</v>
      </c>
      <c r="G10" s="196" t="s">
        <v>0</v>
      </c>
      <c r="H10" s="197" t="s">
        <v>93</v>
      </c>
      <c r="I10" s="197" t="s">
        <v>94</v>
      </c>
      <c r="J10" s="198" t="s">
        <v>12</v>
      </c>
      <c r="K10" s="196" t="s">
        <v>61</v>
      </c>
      <c r="L10" s="197" t="s">
        <v>92</v>
      </c>
      <c r="M10" s="197" t="s">
        <v>95</v>
      </c>
      <c r="N10" s="199" t="s">
        <v>12</v>
      </c>
      <c r="O10" s="197" t="s">
        <v>61</v>
      </c>
      <c r="P10" s="200" t="s">
        <v>92</v>
      </c>
      <c r="Q10" s="201" t="s">
        <v>96</v>
      </c>
      <c r="R10" s="197" t="s">
        <v>65</v>
      </c>
      <c r="S10" s="198" t="s">
        <v>35</v>
      </c>
    </row>
    <row r="11" spans="1:19" ht="31" collapsed="1">
      <c r="A11" s="121">
        <v>1</v>
      </c>
      <c r="B11" s="221" t="s">
        <v>1</v>
      </c>
      <c r="C11" s="202">
        <f>D11+E11</f>
        <v>0</v>
      </c>
      <c r="D11" s="164">
        <f>Eng[[#Totals],[Column11]]</f>
        <v>0</v>
      </c>
      <c r="E11" s="164">
        <f>Eng[[#Totals],[Column12]]</f>
        <v>0</v>
      </c>
      <c r="F11" s="49">
        <f>IFERROR(D11/C11,0)</f>
        <v>0</v>
      </c>
      <c r="G11" s="202">
        <f>H11+I11</f>
        <v>0</v>
      </c>
      <c r="H11" s="164">
        <f>Eng[[#Totals],[Column16]]</f>
        <v>0</v>
      </c>
      <c r="I11" s="164">
        <f>Eng[[#Totals],[Column17]]</f>
        <v>0</v>
      </c>
      <c r="J11" s="49">
        <f>IFERROR(H11/G11,0)</f>
        <v>0</v>
      </c>
      <c r="K11" s="203">
        <f>L11+M11</f>
        <v>0</v>
      </c>
      <c r="L11" s="204">
        <f>Eng[[#Totals],[Column20]]</f>
        <v>0</v>
      </c>
      <c r="M11" s="204">
        <f>Eng[[#Totals],[Column21]]</f>
        <v>0</v>
      </c>
      <c r="N11" s="50">
        <f>IFERROR(L11/K11,0)</f>
        <v>0</v>
      </c>
      <c r="O11" s="51">
        <f>P11+Q11</f>
        <v>0</v>
      </c>
      <c r="P11" s="204">
        <f>Eng[[#Totals],[Column30]]</f>
        <v>0</v>
      </c>
      <c r="Q11" s="204">
        <f>Eng[[#Totals],[Column29]]</f>
        <v>0</v>
      </c>
      <c r="R11" s="49">
        <f>IFERROR(P11/O11,0)</f>
        <v>0</v>
      </c>
      <c r="S11" s="52">
        <f>Eng[[#Totals],[Column26]]</f>
        <v>0</v>
      </c>
    </row>
    <row r="12" spans="1:19">
      <c r="A12" s="222"/>
      <c r="C12" s="205"/>
      <c r="D12" s="1"/>
      <c r="E12" s="1"/>
      <c r="F12" s="206"/>
      <c r="G12" s="205"/>
      <c r="H12" s="1"/>
      <c r="I12" s="1"/>
      <c r="J12" s="206"/>
      <c r="K12" s="207"/>
      <c r="L12" s="1"/>
      <c r="M12" s="1"/>
      <c r="N12" s="206"/>
      <c r="O12" s="207"/>
      <c r="P12" s="1"/>
      <c r="Q12" s="1"/>
      <c r="R12" s="206"/>
      <c r="S12" s="208"/>
    </row>
    <row r="13" spans="1:19" ht="19" customHeight="1" collapsed="1">
      <c r="A13" s="223">
        <v>2</v>
      </c>
      <c r="B13" s="224" t="s">
        <v>2</v>
      </c>
      <c r="C13" s="119">
        <f t="shared" ref="C13:C19" si="0">D13+E13</f>
        <v>0</v>
      </c>
      <c r="D13" s="209">
        <f>Fab[[#Totals],[Column11]]</f>
        <v>0</v>
      </c>
      <c r="E13" s="209">
        <f>Fab[[#Totals],[Column12]]</f>
        <v>0</v>
      </c>
      <c r="F13" s="53">
        <f>IFERROR(D13/C13,0)</f>
        <v>0</v>
      </c>
      <c r="G13" s="210">
        <f>H13+I13</f>
        <v>0</v>
      </c>
      <c r="H13" s="209">
        <f>Fab[[#Totals],[Column16]]</f>
        <v>0</v>
      </c>
      <c r="I13" s="209">
        <f>Fab[[#Totals],[Column17]]</f>
        <v>0</v>
      </c>
      <c r="J13" s="53">
        <f>IFERROR(H13/G13,0)</f>
        <v>0</v>
      </c>
      <c r="K13" s="211">
        <f t="shared" ref="K13:K17" si="1">L13+M13</f>
        <v>0</v>
      </c>
      <c r="L13" s="212">
        <f>Fab[[#Totals],[Column16]]</f>
        <v>0</v>
      </c>
      <c r="M13" s="212">
        <f>Fab[[#Totals],[Column21]]</f>
        <v>0</v>
      </c>
      <c r="N13" s="54">
        <f>IFERROR(L13/K13,0)</f>
        <v>0</v>
      </c>
      <c r="O13" s="213">
        <f t="shared" ref="O13:O21" si="2">P13+Q13</f>
        <v>0</v>
      </c>
      <c r="P13" s="212">
        <f>Fab[[#Totals],[Column30]]</f>
        <v>0</v>
      </c>
      <c r="Q13" s="212">
        <f>Fab[[#Totals],[Column29]]</f>
        <v>0</v>
      </c>
      <c r="R13" s="53">
        <f>IFERROR(P13/O13,0)</f>
        <v>0</v>
      </c>
      <c r="S13" s="55">
        <f>Fab[[#Totals],[Column26]]</f>
        <v>0</v>
      </c>
    </row>
    <row r="14" spans="1:19">
      <c r="A14" s="222"/>
      <c r="C14" s="205"/>
      <c r="D14" s="1"/>
      <c r="E14" s="1"/>
      <c r="F14" s="206"/>
      <c r="G14" s="205"/>
      <c r="H14" s="1"/>
      <c r="I14" s="1"/>
      <c r="J14" s="206"/>
      <c r="K14" s="207"/>
      <c r="L14" s="1"/>
      <c r="M14" s="1"/>
      <c r="N14" s="206"/>
      <c r="O14" s="207"/>
      <c r="P14" s="1"/>
      <c r="Q14" s="1"/>
      <c r="R14" s="206"/>
      <c r="S14" s="208"/>
    </row>
    <row r="15" spans="1:19" collapsed="1">
      <c r="A15" s="223">
        <v>3</v>
      </c>
      <c r="B15" s="224" t="s">
        <v>16</v>
      </c>
      <c r="C15" s="119">
        <f t="shared" si="0"/>
        <v>0</v>
      </c>
      <c r="D15" s="209">
        <f>Mat[[#Totals],[Column11]]</f>
        <v>0</v>
      </c>
      <c r="E15" s="209">
        <f>Mat[[#Totals],[Column12]]</f>
        <v>0</v>
      </c>
      <c r="F15" s="53">
        <f>IFERROR(D15/C15,0)</f>
        <v>0</v>
      </c>
      <c r="G15" s="119">
        <f>H15+I15</f>
        <v>0</v>
      </c>
      <c r="H15" s="209">
        <f>Mat[[#Totals],[Column16]]</f>
        <v>0</v>
      </c>
      <c r="I15" s="209">
        <f>Mat[[#Totals],[Column17]]</f>
        <v>0</v>
      </c>
      <c r="J15" s="53">
        <f>IFERROR(H15/G15,0)</f>
        <v>0</v>
      </c>
      <c r="K15" s="211">
        <f t="shared" si="1"/>
        <v>0</v>
      </c>
      <c r="L15" s="212">
        <f>Mat[[#Totals],[Column20]]</f>
        <v>0</v>
      </c>
      <c r="M15" s="212">
        <f>Mat[[#Totals],[Column21]]</f>
        <v>0</v>
      </c>
      <c r="N15" s="54">
        <f>IFERROR(L15/K15,0)</f>
        <v>0</v>
      </c>
      <c r="O15" s="56">
        <f t="shared" si="2"/>
        <v>0</v>
      </c>
      <c r="P15" s="212">
        <f>Mat[[#Totals],[Column29]]</f>
        <v>0</v>
      </c>
      <c r="Q15" s="212">
        <f>Mat[[#Totals],[Column29]]</f>
        <v>0</v>
      </c>
      <c r="R15" s="53">
        <f>IFERROR(P15/O15,0)</f>
        <v>0</v>
      </c>
      <c r="S15" s="55">
        <f>Mat[[#Totals],[Column26]]</f>
        <v>0</v>
      </c>
    </row>
    <row r="16" spans="1:19">
      <c r="A16" s="222"/>
      <c r="C16" s="205"/>
      <c r="D16" s="1"/>
      <c r="E16" s="1"/>
      <c r="F16" s="206"/>
      <c r="G16" s="205"/>
      <c r="H16" s="1"/>
      <c r="I16" s="1"/>
      <c r="J16" s="206"/>
      <c r="K16" s="207"/>
      <c r="L16" s="1"/>
      <c r="M16" s="1"/>
      <c r="N16" s="206"/>
      <c r="O16" s="207"/>
      <c r="P16" s="1"/>
      <c r="Q16" s="1"/>
      <c r="R16" s="206"/>
      <c r="S16" s="208"/>
    </row>
    <row r="17" spans="1:19" collapsed="1">
      <c r="A17" s="223">
        <v>4</v>
      </c>
      <c r="B17" s="224" t="s">
        <v>3</v>
      </c>
      <c r="C17" s="210">
        <f t="shared" si="0"/>
        <v>0</v>
      </c>
      <c r="D17" s="209">
        <f>Well[[#Totals],[Column11]]</f>
        <v>0</v>
      </c>
      <c r="E17" s="209">
        <f>Well[[#Totals],[Column12]]</f>
        <v>0</v>
      </c>
      <c r="F17" s="53">
        <f>IFERROR(D17/C17,0)</f>
        <v>0</v>
      </c>
      <c r="G17" s="210">
        <f>H17+I17</f>
        <v>0</v>
      </c>
      <c r="H17" s="209">
        <f>Well[[#Totals],[Column16]]</f>
        <v>0</v>
      </c>
      <c r="I17" s="209">
        <f>Well[[#Totals],[Column17]]</f>
        <v>0</v>
      </c>
      <c r="J17" s="53">
        <f>IFERROR(H17/G17,0)</f>
        <v>0</v>
      </c>
      <c r="K17" s="211">
        <f t="shared" si="1"/>
        <v>0</v>
      </c>
      <c r="L17" s="212">
        <f>Well[[#Totals],[Column20]]</f>
        <v>0</v>
      </c>
      <c r="M17" s="212">
        <f>Well[[#Totals],[Column21]]</f>
        <v>0</v>
      </c>
      <c r="N17" s="54">
        <f>IFERROR(L17/K17,0)</f>
        <v>0</v>
      </c>
      <c r="O17" s="213">
        <f t="shared" si="2"/>
        <v>0</v>
      </c>
      <c r="P17" s="212">
        <f>Well[[#Totals],[Column30]]</f>
        <v>0</v>
      </c>
      <c r="Q17" s="212">
        <f>Well[[#Totals],[Column29]]</f>
        <v>0</v>
      </c>
      <c r="R17" s="53">
        <f>IFERROR(P17/O17,0)</f>
        <v>0</v>
      </c>
      <c r="S17" s="55">
        <f>Well[[#Totals],[Column26]]</f>
        <v>0</v>
      </c>
    </row>
    <row r="18" spans="1:19">
      <c r="A18" s="222"/>
      <c r="C18" s="205"/>
      <c r="D18" s="1"/>
      <c r="E18" s="1"/>
      <c r="F18" s="206"/>
      <c r="G18" s="205"/>
      <c r="H18" s="1"/>
      <c r="I18" s="1"/>
      <c r="J18" s="206"/>
      <c r="K18" s="207"/>
      <c r="L18" s="1"/>
      <c r="M18" s="1"/>
      <c r="N18" s="206"/>
      <c r="O18" s="207"/>
      <c r="P18" s="1"/>
      <c r="Q18" s="1"/>
      <c r="R18" s="206"/>
      <c r="S18" s="57"/>
    </row>
    <row r="19" spans="1:19" collapsed="1">
      <c r="A19" s="223">
        <v>5</v>
      </c>
      <c r="B19" s="224" t="s">
        <v>17</v>
      </c>
      <c r="C19" s="210">
        <f t="shared" si="0"/>
        <v>0</v>
      </c>
      <c r="D19" s="209">
        <f>Res[[#Totals],[Column11]]</f>
        <v>0</v>
      </c>
      <c r="E19" s="209">
        <f>Res[[#Totals],[Column12]]</f>
        <v>0</v>
      </c>
      <c r="F19" s="53">
        <f>IFERROR(D19/C19,0)</f>
        <v>0</v>
      </c>
      <c r="G19" s="210">
        <f t="shared" ref="G19" si="3">H19+I19</f>
        <v>0</v>
      </c>
      <c r="H19" s="209">
        <f>Res[[#Totals],[Column16]]</f>
        <v>0</v>
      </c>
      <c r="I19" s="209">
        <f>Res[[#Totals],[Column17]]</f>
        <v>0</v>
      </c>
      <c r="J19" s="53">
        <f>IFERROR(H19/G19,0)</f>
        <v>0</v>
      </c>
      <c r="K19" s="211">
        <f t="shared" ref="K19" si="4">L19+M19</f>
        <v>0</v>
      </c>
      <c r="L19" s="212">
        <f>Res[[#Totals],[Column20]]</f>
        <v>0</v>
      </c>
      <c r="M19" s="212">
        <f>Res[[#Totals],[Column21]]</f>
        <v>0</v>
      </c>
      <c r="N19" s="54">
        <f>IFERROR(L19/K19,0)</f>
        <v>0</v>
      </c>
      <c r="O19" s="213">
        <f t="shared" si="2"/>
        <v>0</v>
      </c>
      <c r="P19" s="212">
        <f>Res[[#Totals],[Column30]]</f>
        <v>0</v>
      </c>
      <c r="Q19" s="212">
        <f>Res[[#Totals],[Column29]]</f>
        <v>0</v>
      </c>
      <c r="R19" s="53">
        <f>Res[[#Totals],[Column25]]</f>
        <v>0</v>
      </c>
      <c r="S19" s="55">
        <f>Res[[#Totals],[Column26]]</f>
        <v>0</v>
      </c>
    </row>
    <row r="20" spans="1:19">
      <c r="A20" s="222"/>
      <c r="C20" s="205"/>
      <c r="D20" s="1"/>
      <c r="E20" s="1"/>
      <c r="F20" s="206"/>
      <c r="G20" s="205"/>
      <c r="H20" s="1"/>
      <c r="I20" s="1"/>
      <c r="J20" s="206"/>
      <c r="K20" s="207"/>
      <c r="L20" s="1"/>
      <c r="M20" s="1"/>
      <c r="N20" s="206"/>
      <c r="O20" s="207"/>
      <c r="P20" s="1"/>
      <c r="Q20" s="1"/>
      <c r="R20" s="206"/>
      <c r="S20" s="208"/>
    </row>
    <row r="21" spans="1:19" collapsed="1">
      <c r="A21" s="223">
        <v>6</v>
      </c>
      <c r="B21" s="224" t="s">
        <v>4</v>
      </c>
      <c r="C21" s="210">
        <f t="shared" ref="C21:C27" si="5">D21+E21</f>
        <v>0</v>
      </c>
      <c r="D21" s="209">
        <f>Exp[[#Totals],[Column11]]</f>
        <v>0</v>
      </c>
      <c r="E21" s="209">
        <f>Exp[[#Totals],[Column12]]</f>
        <v>0</v>
      </c>
      <c r="F21" s="53">
        <f>IFERROR(D21/C21,0)</f>
        <v>0</v>
      </c>
      <c r="G21" s="210">
        <f t="shared" ref="G21" si="6">H21+I21</f>
        <v>0</v>
      </c>
      <c r="H21" s="209">
        <f>Exp[[#Totals],[Column16]]</f>
        <v>0</v>
      </c>
      <c r="I21" s="209">
        <f>Exp[[#Totals],[Column17]]</f>
        <v>0</v>
      </c>
      <c r="J21" s="53">
        <f>IFERROR(H21/G21,0)</f>
        <v>0</v>
      </c>
      <c r="K21" s="211">
        <f t="shared" ref="K21" si="7">L21+M21</f>
        <v>0</v>
      </c>
      <c r="L21" s="212">
        <f>Exp[[#Totals],[Column20]]</f>
        <v>0</v>
      </c>
      <c r="M21" s="212">
        <f>Exp[[#Totals],[Column21]]</f>
        <v>0</v>
      </c>
      <c r="N21" s="54">
        <f>IFERROR(L21/K21,0)</f>
        <v>0</v>
      </c>
      <c r="O21" s="213">
        <f t="shared" si="2"/>
        <v>0</v>
      </c>
      <c r="P21" s="212">
        <f>Exp[[#Totals],[Column30]]</f>
        <v>0</v>
      </c>
      <c r="Q21" s="212">
        <f>Exp[[#Totals],[Column29]]</f>
        <v>0</v>
      </c>
      <c r="R21" s="53">
        <f>IFERROR(P21/O21,0)</f>
        <v>0</v>
      </c>
      <c r="S21" s="55">
        <f>Exp[[#Totals],[Column26]]</f>
        <v>0</v>
      </c>
    </row>
    <row r="22" spans="1:19">
      <c r="A22" s="222"/>
      <c r="C22" s="205"/>
      <c r="D22" s="1"/>
      <c r="E22" s="1"/>
      <c r="F22" s="206"/>
      <c r="G22" s="205"/>
      <c r="H22" s="1"/>
      <c r="I22" s="1"/>
      <c r="J22" s="206"/>
      <c r="K22" s="207"/>
      <c r="L22" s="1"/>
      <c r="M22" s="1"/>
      <c r="N22" s="206"/>
      <c r="O22" s="207"/>
      <c r="P22" s="1"/>
      <c r="Q22" s="1"/>
      <c r="R22" s="206"/>
      <c r="S22" s="208"/>
    </row>
    <row r="23" spans="1:19" collapsed="1">
      <c r="A23" s="223">
        <v>7</v>
      </c>
      <c r="B23" s="224" t="s">
        <v>9</v>
      </c>
      <c r="C23" s="210">
        <f t="shared" si="5"/>
        <v>0</v>
      </c>
      <c r="D23" s="209">
        <f>Trans[[#Totals],[Column11]]</f>
        <v>0</v>
      </c>
      <c r="E23" s="209">
        <f>Trans[[#Totals],[Column12]]</f>
        <v>0</v>
      </c>
      <c r="F23" s="53">
        <f>IFERROR(D23/C23,0)</f>
        <v>0</v>
      </c>
      <c r="G23" s="210">
        <f t="shared" ref="G23" si="8">H23+I23</f>
        <v>0</v>
      </c>
      <c r="H23" s="209">
        <f>Trans[[#Totals],[Column16]]</f>
        <v>0</v>
      </c>
      <c r="I23" s="209">
        <f>Trans[[#Totals],[Column17]]</f>
        <v>0</v>
      </c>
      <c r="J23" s="53">
        <f>IFERROR(H23/G23,0)</f>
        <v>0</v>
      </c>
      <c r="K23" s="211">
        <f t="shared" ref="K23" si="9">L23+M23</f>
        <v>0</v>
      </c>
      <c r="L23" s="212">
        <f>Trans[[#Totals],[Column20]]</f>
        <v>0</v>
      </c>
      <c r="M23" s="212">
        <f>Trans[[#Totals],[Column21]]</f>
        <v>0</v>
      </c>
      <c r="N23" s="54">
        <f>IFERROR(L23/K23,0)</f>
        <v>0</v>
      </c>
      <c r="O23" s="213">
        <f t="shared" ref="O23" si="10">P23+Q23</f>
        <v>0</v>
      </c>
      <c r="P23" s="212">
        <f>Trans[[#Totals],[Column30]]</f>
        <v>0</v>
      </c>
      <c r="Q23" s="212">
        <f>Trans[[#Totals],[Column29]]</f>
        <v>0</v>
      </c>
      <c r="R23" s="53">
        <f>IFERROR(P23/O23,0)</f>
        <v>0</v>
      </c>
      <c r="S23" s="55">
        <f>Trans[[#Totals],[Column26]]</f>
        <v>0</v>
      </c>
    </row>
    <row r="24" spans="1:19">
      <c r="A24" s="222"/>
      <c r="C24" s="205"/>
      <c r="D24" s="1"/>
      <c r="E24" s="1"/>
      <c r="F24" s="206"/>
      <c r="G24" s="205"/>
      <c r="H24" s="1"/>
      <c r="I24" s="1"/>
      <c r="J24" s="206"/>
      <c r="K24" s="207"/>
      <c r="L24" s="1"/>
      <c r="M24" s="1"/>
      <c r="N24" s="206"/>
      <c r="O24" s="207"/>
      <c r="P24" s="1"/>
      <c r="Q24" s="1"/>
      <c r="R24" s="206"/>
      <c r="S24" s="208"/>
    </row>
    <row r="25" spans="1:19" collapsed="1">
      <c r="A25" s="223">
        <v>8</v>
      </c>
      <c r="B25" s="224" t="s">
        <v>5</v>
      </c>
      <c r="C25" s="210">
        <f t="shared" si="5"/>
        <v>0</v>
      </c>
      <c r="D25" s="209">
        <f>Health[[#Totals],[Column11]]</f>
        <v>0</v>
      </c>
      <c r="E25" s="209">
        <f>Health[[#Totals],[Column12]]</f>
        <v>0</v>
      </c>
      <c r="F25" s="53">
        <f>IFERROR(D25/C25,0)</f>
        <v>0</v>
      </c>
      <c r="G25" s="210">
        <f t="shared" ref="G25" si="11">H25+I25</f>
        <v>0</v>
      </c>
      <c r="H25" s="209">
        <f>Health[[#Totals],[Column16]]</f>
        <v>0</v>
      </c>
      <c r="I25" s="209">
        <f>Health[[#Totals],[Column17]]</f>
        <v>0</v>
      </c>
      <c r="J25" s="53">
        <f>IFERROR(H25/G25,0)</f>
        <v>0</v>
      </c>
      <c r="K25" s="211">
        <f t="shared" ref="K25" si="12">L25+M25</f>
        <v>0</v>
      </c>
      <c r="L25" s="212">
        <f>Health[[#Totals],[Column20]]</f>
        <v>0</v>
      </c>
      <c r="M25" s="212">
        <f>Health[[#Totals],[Column21]]</f>
        <v>0</v>
      </c>
      <c r="N25" s="54">
        <f>IFERROR(L25/K25,0)</f>
        <v>0</v>
      </c>
      <c r="O25" s="213">
        <f t="shared" ref="O25" si="13">P25+Q25</f>
        <v>0</v>
      </c>
      <c r="P25" s="212">
        <f>Health[[#Totals],[Column30]]</f>
        <v>0</v>
      </c>
      <c r="Q25" s="212">
        <f>Health[[#Totals],[Column29]]</f>
        <v>0</v>
      </c>
      <c r="R25" s="53">
        <f>IFERROR(P25/O25,0)</f>
        <v>0</v>
      </c>
      <c r="S25" s="55">
        <f>Health[[#Totals],[Column26]]</f>
        <v>0</v>
      </c>
    </row>
    <row r="26" spans="1:19">
      <c r="A26" s="222"/>
      <c r="C26" s="205"/>
      <c r="D26" s="1"/>
      <c r="E26" s="1"/>
      <c r="F26" s="206"/>
      <c r="G26" s="205"/>
      <c r="H26" s="1"/>
      <c r="I26" s="1"/>
      <c r="J26" s="206"/>
      <c r="K26" s="207"/>
      <c r="L26" s="1"/>
      <c r="M26" s="1"/>
      <c r="N26" s="206"/>
      <c r="O26" s="207"/>
      <c r="P26" s="1"/>
      <c r="Q26" s="1"/>
      <c r="R26" s="206"/>
      <c r="S26" s="208"/>
    </row>
    <row r="27" spans="1:19" ht="31" collapsed="1">
      <c r="A27" s="223">
        <v>9</v>
      </c>
      <c r="B27" s="224" t="s">
        <v>11</v>
      </c>
      <c r="C27" s="210">
        <f t="shared" si="5"/>
        <v>0</v>
      </c>
      <c r="D27" s="209">
        <f>Info[[#Totals],[Column11]]</f>
        <v>0</v>
      </c>
      <c r="E27" s="209">
        <f>Info[[#Totals],[Column12]]</f>
        <v>0</v>
      </c>
      <c r="F27" s="53">
        <f>IFERROR(D27/C27,0)</f>
        <v>0</v>
      </c>
      <c r="G27" s="210">
        <f t="shared" ref="G27" si="14">H27+I27</f>
        <v>0</v>
      </c>
      <c r="H27" s="209">
        <f>Info[[#Totals],[Column16]]</f>
        <v>0</v>
      </c>
      <c r="I27" s="209">
        <f>Info[[#Totals],[Column17]]</f>
        <v>0</v>
      </c>
      <c r="J27" s="53">
        <f>IFERROR(H27/G27,0)</f>
        <v>0</v>
      </c>
      <c r="K27" s="211">
        <f t="shared" ref="K27" si="15">L27+M27</f>
        <v>0</v>
      </c>
      <c r="L27" s="212">
        <f>Info[[#Totals],[Column20]]</f>
        <v>0</v>
      </c>
      <c r="M27" s="212">
        <f>Info[[#Totals],[Column21]]</f>
        <v>0</v>
      </c>
      <c r="N27" s="54">
        <f>IFERROR(L27/K27,0)</f>
        <v>0</v>
      </c>
      <c r="O27" s="213">
        <f t="shared" ref="O27:O41" si="16">P27+Q27</f>
        <v>0</v>
      </c>
      <c r="P27" s="212">
        <f>Info[[#Totals],[Column30]]</f>
        <v>0</v>
      </c>
      <c r="Q27" s="212">
        <f>Info[[#Totals],[Column29]]</f>
        <v>0</v>
      </c>
      <c r="R27" s="53">
        <f>Info[[#Totals],[Column25]]</f>
        <v>0</v>
      </c>
      <c r="S27" s="55">
        <f>Info[[#Totals],[Column26]]</f>
        <v>0</v>
      </c>
    </row>
    <row r="28" spans="1:19">
      <c r="A28" s="222"/>
      <c r="C28" s="205"/>
      <c r="D28" s="1"/>
      <c r="E28" s="1"/>
      <c r="F28" s="206"/>
      <c r="G28" s="205"/>
      <c r="H28" s="1"/>
      <c r="I28" s="1"/>
      <c r="J28" s="206"/>
      <c r="K28" s="207"/>
      <c r="L28" s="1"/>
      <c r="M28" s="1"/>
      <c r="N28" s="206"/>
      <c r="O28" s="207"/>
      <c r="P28" s="1"/>
      <c r="Q28" s="1"/>
      <c r="R28" s="206"/>
      <c r="S28" s="208"/>
    </row>
    <row r="29" spans="1:19" collapsed="1">
      <c r="A29" s="223">
        <v>10</v>
      </c>
      <c r="B29" s="224" t="s">
        <v>18</v>
      </c>
      <c r="C29" s="210">
        <f t="shared" ref="C29" si="17">D29+E29</f>
        <v>0</v>
      </c>
      <c r="D29" s="209">
        <f>Mar[[#Totals],[Column11]]</f>
        <v>0</v>
      </c>
      <c r="E29" s="209">
        <f>Mar[[#Totals],[Column12]]</f>
        <v>0</v>
      </c>
      <c r="F29" s="53">
        <f>IFERROR(D29/C29,0)</f>
        <v>0</v>
      </c>
      <c r="G29" s="210">
        <f t="shared" ref="G29" si="18">H29+I29</f>
        <v>0</v>
      </c>
      <c r="H29" s="209">
        <f>Mar[[#Totals],[Column16]]</f>
        <v>0</v>
      </c>
      <c r="I29" s="209">
        <f>Mar[[#Totals],[Column17]]</f>
        <v>0</v>
      </c>
      <c r="J29" s="53">
        <f>IFERROR(H29/G29,0)</f>
        <v>0</v>
      </c>
      <c r="K29" s="211">
        <f t="shared" ref="K29" si="19">L29+M29</f>
        <v>0</v>
      </c>
      <c r="L29" s="212">
        <f>Mar[[#Totals],[Column20]]</f>
        <v>0</v>
      </c>
      <c r="M29" s="212">
        <f>Mar[[#Totals],[Column21]]</f>
        <v>0</v>
      </c>
      <c r="N29" s="54">
        <f>IFERROR(L29/K29,0)</f>
        <v>0</v>
      </c>
      <c r="O29" s="213">
        <f t="shared" si="16"/>
        <v>0</v>
      </c>
      <c r="P29" s="212">
        <f>Mar[[#Totals],[Column30]]</f>
        <v>0</v>
      </c>
      <c r="Q29" s="212">
        <f>Mar[[#Totals],[Column29]]</f>
        <v>0</v>
      </c>
      <c r="R29" s="53">
        <f>IFERROR(P29/O29,0)</f>
        <v>0</v>
      </c>
      <c r="S29" s="55">
        <f>Mar[[#Totals],[Column26]]</f>
        <v>0</v>
      </c>
    </row>
    <row r="30" spans="1:19">
      <c r="A30" s="222"/>
      <c r="C30" s="205"/>
      <c r="D30" s="1"/>
      <c r="E30" s="1"/>
      <c r="F30" s="206"/>
      <c r="G30" s="205"/>
      <c r="H30" s="1"/>
      <c r="I30" s="1"/>
      <c r="J30" s="206"/>
      <c r="K30" s="207"/>
      <c r="L30" s="1"/>
      <c r="M30" s="1"/>
      <c r="N30" s="206"/>
      <c r="O30" s="207"/>
      <c r="P30" s="1"/>
      <c r="Q30" s="1"/>
      <c r="R30" s="206"/>
      <c r="S30" s="208"/>
    </row>
    <row r="31" spans="1:19" collapsed="1">
      <c r="A31" s="223">
        <v>11</v>
      </c>
      <c r="B31" s="224" t="s">
        <v>19</v>
      </c>
      <c r="C31" s="210">
        <f t="shared" ref="C31" si="20">D31+E31</f>
        <v>0</v>
      </c>
      <c r="D31" s="209">
        <f>Fin[[#Totals],[Column11]]</f>
        <v>0</v>
      </c>
      <c r="E31" s="209">
        <f>Fin[[#Totals],[Column12]]</f>
        <v>0</v>
      </c>
      <c r="F31" s="53">
        <f>IFERROR(D31/C31,0)</f>
        <v>0</v>
      </c>
      <c r="G31" s="210">
        <f t="shared" ref="G31" si="21">H31+I31</f>
        <v>0</v>
      </c>
      <c r="H31" s="209">
        <f>Fin[[#Totals],[Column16]]</f>
        <v>0</v>
      </c>
      <c r="I31" s="209">
        <f>Fin[[#Totals],[Column17]]</f>
        <v>0</v>
      </c>
      <c r="J31" s="53">
        <f>IFERROR(H31/G31,0)</f>
        <v>0</v>
      </c>
      <c r="K31" s="211">
        <f t="shared" ref="K31" si="22">L31+M31</f>
        <v>0</v>
      </c>
      <c r="L31" s="212">
        <f>Fin[[#Totals],[Column20]]</f>
        <v>0</v>
      </c>
      <c r="M31" s="212">
        <f>Fin[[#Totals],[Column21]]</f>
        <v>0</v>
      </c>
      <c r="N31" s="54">
        <f>IFERROR(L31/K31,0)</f>
        <v>0</v>
      </c>
      <c r="O31" s="213">
        <f t="shared" si="16"/>
        <v>0</v>
      </c>
      <c r="P31" s="212">
        <f>Fin[[#Totals],[Column30]]</f>
        <v>0</v>
      </c>
      <c r="Q31" s="212">
        <f>Fin[[#Totals],[Column29]]</f>
        <v>0</v>
      </c>
      <c r="R31" s="53">
        <f>IFERROR(P31/O31,0)</f>
        <v>0</v>
      </c>
      <c r="S31" s="55">
        <f>Fin[[#Totals],[Column26]]</f>
        <v>0</v>
      </c>
    </row>
    <row r="32" spans="1:19">
      <c r="A32" s="222"/>
      <c r="C32" s="205"/>
      <c r="D32" s="1"/>
      <c r="E32" s="1"/>
      <c r="F32" s="206"/>
      <c r="G32" s="205"/>
      <c r="H32" s="1"/>
      <c r="I32" s="1"/>
      <c r="J32" s="206"/>
      <c r="K32" s="207"/>
      <c r="L32" s="1"/>
      <c r="M32" s="1"/>
      <c r="N32" s="206"/>
      <c r="O32" s="207"/>
      <c r="P32" s="1"/>
      <c r="Q32" s="1"/>
      <c r="R32" s="206"/>
      <c r="S32" s="208"/>
    </row>
    <row r="33" spans="1:19" collapsed="1">
      <c r="A33" s="223">
        <v>12</v>
      </c>
      <c r="B33" s="224" t="s">
        <v>20</v>
      </c>
      <c r="C33" s="210">
        <f t="shared" ref="C33" si="23">D33+E33</f>
        <v>0</v>
      </c>
      <c r="D33" s="209">
        <f>Inst[[#Totals],[Column11]]</f>
        <v>0</v>
      </c>
      <c r="E33" s="209">
        <f>Inst[[#Totals],[Column12]]</f>
        <v>0</v>
      </c>
      <c r="F33" s="53">
        <f>IFERROR(D33/C33,0)</f>
        <v>0</v>
      </c>
      <c r="G33" s="210">
        <f t="shared" ref="G33" si="24">H33+I33</f>
        <v>0</v>
      </c>
      <c r="H33" s="209">
        <f>Inst[[#Totals],[Column16]]</f>
        <v>0</v>
      </c>
      <c r="I33" s="209">
        <f>Inst[[#Totals],[Column17]]</f>
        <v>0</v>
      </c>
      <c r="J33" s="53">
        <f>IFERROR(H33/G33,0)</f>
        <v>0</v>
      </c>
      <c r="K33" s="211">
        <f t="shared" ref="K33" si="25">L33+M33</f>
        <v>0</v>
      </c>
      <c r="L33" s="212">
        <f>Inst[[#Totals],[Column20]]</f>
        <v>0</v>
      </c>
      <c r="M33" s="212">
        <f>Inst[[#Totals],[Column29]]</f>
        <v>0</v>
      </c>
      <c r="N33" s="54">
        <f>IFERROR(L33/K33,0)</f>
        <v>0</v>
      </c>
      <c r="O33" s="213">
        <f t="shared" si="16"/>
        <v>0</v>
      </c>
      <c r="P33" s="212">
        <f>Inst[[#Totals],[Column30]]</f>
        <v>0</v>
      </c>
      <c r="Q33" s="212">
        <f>Inst[[#Totals],[Column29]]</f>
        <v>0</v>
      </c>
      <c r="R33" s="53">
        <f>IFERROR(P33/O33,0)</f>
        <v>0</v>
      </c>
      <c r="S33" s="55">
        <f>Inst[[#Totals],[Column26]]</f>
        <v>0</v>
      </c>
    </row>
    <row r="34" spans="1:19">
      <c r="A34" s="222"/>
      <c r="C34" s="205"/>
      <c r="D34" s="1"/>
      <c r="E34" s="1"/>
      <c r="F34" s="206"/>
      <c r="G34" s="205"/>
      <c r="H34" s="1"/>
      <c r="I34" s="1"/>
      <c r="J34" s="206"/>
      <c r="K34" s="207"/>
      <c r="L34" s="1"/>
      <c r="M34" s="1"/>
      <c r="N34" s="206"/>
      <c r="O34" s="207"/>
      <c r="P34" s="1"/>
      <c r="Q34" s="1"/>
      <c r="R34" s="206"/>
      <c r="S34" s="208"/>
    </row>
    <row r="35" spans="1:19" collapsed="1">
      <c r="A35" s="223">
        <v>13</v>
      </c>
      <c r="B35" s="224" t="s">
        <v>21</v>
      </c>
      <c r="C35" s="210">
        <f t="shared" ref="C35" si="26">D35+E35</f>
        <v>0</v>
      </c>
      <c r="D35" s="209">
        <f>Insp[[#Totals],[Column11]]</f>
        <v>0</v>
      </c>
      <c r="E35" s="209">
        <f>Insp[[#Totals],[Column12]]</f>
        <v>0</v>
      </c>
      <c r="F35" s="53">
        <f>IFERROR(D35/C35,0)</f>
        <v>0</v>
      </c>
      <c r="G35" s="210">
        <f t="shared" ref="G35" si="27">H35+I35</f>
        <v>0</v>
      </c>
      <c r="H35" s="209">
        <f>Insp[[#Totals],[Column16]]</f>
        <v>0</v>
      </c>
      <c r="I35" s="209">
        <f>Insp[[#Totals],[Column17]]</f>
        <v>0</v>
      </c>
      <c r="J35" s="53">
        <f>IFERROR(H35/G35,0)</f>
        <v>0</v>
      </c>
      <c r="K35" s="211">
        <f t="shared" ref="K35" si="28">L35+M35</f>
        <v>0</v>
      </c>
      <c r="L35" s="212">
        <f>Insp[[#Totals],[Column20]]</f>
        <v>0</v>
      </c>
      <c r="M35" s="212">
        <f>Insp[[#Totals],[Column21]]</f>
        <v>0</v>
      </c>
      <c r="N35" s="54">
        <f>IFERROR(L35/K35,0)</f>
        <v>0</v>
      </c>
      <c r="O35" s="213">
        <f t="shared" si="16"/>
        <v>0</v>
      </c>
      <c r="P35" s="212">
        <f>Insp[[#Totals],[Column30]]</f>
        <v>0</v>
      </c>
      <c r="Q35" s="212">
        <f>Insp[[#Totals],[Column29]]</f>
        <v>0</v>
      </c>
      <c r="R35" s="53">
        <f>IFERROR(P35/O35,0)</f>
        <v>0</v>
      </c>
      <c r="S35" s="55">
        <f>Insp[[#Totals],[Column26]]</f>
        <v>0</v>
      </c>
    </row>
    <row r="36" spans="1:19">
      <c r="A36" s="222"/>
      <c r="C36" s="205"/>
      <c r="D36" s="1"/>
      <c r="E36" s="1"/>
      <c r="F36" s="206"/>
      <c r="G36" s="205"/>
      <c r="H36" s="1"/>
      <c r="I36" s="1"/>
      <c r="J36" s="206"/>
      <c r="K36" s="207"/>
      <c r="L36" s="1"/>
      <c r="M36" s="1"/>
      <c r="N36" s="206"/>
      <c r="O36" s="207"/>
      <c r="P36" s="1"/>
      <c r="Q36" s="1"/>
      <c r="R36" s="206"/>
      <c r="S36" s="208"/>
    </row>
    <row r="37" spans="1:19" collapsed="1">
      <c r="A37" s="223">
        <v>14</v>
      </c>
      <c r="B37" s="224" t="s">
        <v>22</v>
      </c>
      <c r="C37" s="210">
        <f t="shared" ref="C37" si="29">D37+E37</f>
        <v>0</v>
      </c>
      <c r="D37" s="209">
        <f>Proj[[#Totals],[Column11]]</f>
        <v>0</v>
      </c>
      <c r="E37" s="209">
        <f>Proj[[#Totals],[Column12]]</f>
        <v>0</v>
      </c>
      <c r="F37" s="53">
        <f>IFERROR(D37/C37,0)</f>
        <v>0</v>
      </c>
      <c r="G37" s="210">
        <f t="shared" ref="G37" si="30">H37+I37</f>
        <v>0</v>
      </c>
      <c r="H37" s="209">
        <f>Proj[[#Totals],[Column16]]</f>
        <v>0</v>
      </c>
      <c r="I37" s="209">
        <f>Proj[[#Totals],[Column17]]</f>
        <v>0</v>
      </c>
      <c r="J37" s="53">
        <f>IFERROR(H37/G37,0)</f>
        <v>0</v>
      </c>
      <c r="K37" s="211">
        <f t="shared" ref="K37" si="31">L37+M37</f>
        <v>0</v>
      </c>
      <c r="L37" s="212">
        <f>Proj[[#Totals],[Column20]]</f>
        <v>0</v>
      </c>
      <c r="M37" s="212">
        <f>Proj[[#Totals],[Column21]]</f>
        <v>0</v>
      </c>
      <c r="N37" s="54">
        <f>IFERROR(L37/K37,0)</f>
        <v>0</v>
      </c>
      <c r="O37" s="213">
        <f t="shared" si="16"/>
        <v>0</v>
      </c>
      <c r="P37" s="212">
        <f>Proj[[#Totals],[Column30]]</f>
        <v>0</v>
      </c>
      <c r="Q37" s="212">
        <f>Proj[[#Totals],[Column29]]</f>
        <v>0</v>
      </c>
      <c r="R37" s="53">
        <f>IFERROR(P37/O37,0)</f>
        <v>0</v>
      </c>
      <c r="S37" s="55">
        <f>Proj[[#Totals],[Column26]]</f>
        <v>0</v>
      </c>
    </row>
    <row r="38" spans="1:19">
      <c r="A38" s="222"/>
      <c r="C38" s="205"/>
      <c r="D38" s="1"/>
      <c r="E38" s="1"/>
      <c r="F38" s="206"/>
      <c r="G38" s="205"/>
      <c r="H38" s="1"/>
      <c r="I38" s="1"/>
      <c r="J38" s="206"/>
      <c r="K38" s="207"/>
      <c r="L38" s="1"/>
      <c r="M38" s="1"/>
      <c r="N38" s="206"/>
      <c r="O38" s="207"/>
      <c r="P38" s="1"/>
      <c r="Q38" s="1"/>
      <c r="R38" s="206"/>
      <c r="S38" s="208"/>
    </row>
    <row r="39" spans="1:19" collapsed="1">
      <c r="A39" s="223">
        <v>15</v>
      </c>
      <c r="B39" s="224" t="s">
        <v>10</v>
      </c>
      <c r="C39" s="210">
        <f t="shared" ref="C39" si="32">D39+E39</f>
        <v>0</v>
      </c>
      <c r="D39" s="209">
        <f>Surv[[#Totals],[Column16]]</f>
        <v>0</v>
      </c>
      <c r="E39" s="209">
        <f>Surv[[#Totals],[Column12]]</f>
        <v>0</v>
      </c>
      <c r="F39" s="53">
        <f>IFERROR(D39/C39,0)</f>
        <v>0</v>
      </c>
      <c r="G39" s="210">
        <f t="shared" ref="G39" si="33">H39+I39</f>
        <v>0</v>
      </c>
      <c r="H39" s="209">
        <f>Surv[[#Totals],[Column16]]</f>
        <v>0</v>
      </c>
      <c r="I39" s="209">
        <f>Surv[[#Totals],[Column17]]</f>
        <v>0</v>
      </c>
      <c r="J39" s="53">
        <f>IFERROR(H39/G39,0)</f>
        <v>0</v>
      </c>
      <c r="K39" s="211">
        <f t="shared" ref="K39" si="34">L39+M39</f>
        <v>0</v>
      </c>
      <c r="L39" s="212">
        <f>Surv[[#Totals],[Column20]]</f>
        <v>0</v>
      </c>
      <c r="M39" s="212">
        <f>Surv[[#Totals],[Column21]]</f>
        <v>0</v>
      </c>
      <c r="N39" s="54">
        <f>IFERROR(L39/K39,0)</f>
        <v>0</v>
      </c>
      <c r="O39" s="213">
        <f t="shared" si="16"/>
        <v>0</v>
      </c>
      <c r="P39" s="212">
        <f>Surv[[#Totals],[Column30]]</f>
        <v>0</v>
      </c>
      <c r="Q39" s="212">
        <f>Surv[[#Totals],[Column29]]</f>
        <v>0</v>
      </c>
      <c r="R39" s="53">
        <f>IFERROR(P39/O39,0)</f>
        <v>0</v>
      </c>
      <c r="S39" s="55">
        <f>Surv[[#Totals],[Column26]]</f>
        <v>0</v>
      </c>
    </row>
    <row r="40" spans="1:19">
      <c r="A40" s="222"/>
      <c r="C40" s="205"/>
      <c r="D40" s="1"/>
      <c r="E40" s="1"/>
      <c r="F40" s="206"/>
      <c r="G40" s="205"/>
      <c r="H40" s="1"/>
      <c r="I40" s="1"/>
      <c r="J40" s="206"/>
      <c r="K40" s="207"/>
      <c r="L40" s="1"/>
      <c r="M40" s="1"/>
      <c r="N40" s="206"/>
      <c r="O40" s="207"/>
      <c r="P40" s="1"/>
      <c r="Q40" s="1"/>
      <c r="R40" s="206"/>
      <c r="S40" s="208"/>
    </row>
    <row r="41" spans="1:19" collapsed="1">
      <c r="A41" s="223">
        <v>16</v>
      </c>
      <c r="B41" s="224" t="s">
        <v>23</v>
      </c>
      <c r="C41" s="210">
        <f t="shared" ref="C41:C43" si="35">D41+E41</f>
        <v>0</v>
      </c>
      <c r="D41" s="209">
        <f>Mod[[#Totals],[Column11]]</f>
        <v>0</v>
      </c>
      <c r="E41" s="209">
        <f>Mod[[#Totals],[Column12]]</f>
        <v>0</v>
      </c>
      <c r="F41" s="53">
        <f>IFERROR(D41/C41,0)</f>
        <v>0</v>
      </c>
      <c r="G41" s="210">
        <f t="shared" ref="G41" si="36">H41+I41</f>
        <v>0</v>
      </c>
      <c r="H41" s="209">
        <f>Mod[[#Totals],[Column16]]</f>
        <v>0</v>
      </c>
      <c r="I41" s="209">
        <f>Mod[[#Totals],[Column17]]</f>
        <v>0</v>
      </c>
      <c r="J41" s="53">
        <f>IFERROR(H41/G41,0)</f>
        <v>0</v>
      </c>
      <c r="K41" s="211">
        <f t="shared" ref="K41" si="37">L41+M41</f>
        <v>0</v>
      </c>
      <c r="L41" s="212">
        <f>Mod[[#Totals],[Column20]]</f>
        <v>0</v>
      </c>
      <c r="M41" s="212">
        <f>Mod[[#Totals],[Column21]]</f>
        <v>0</v>
      </c>
      <c r="N41" s="54">
        <f>IFERROR(L41/K41,0)</f>
        <v>0</v>
      </c>
      <c r="O41" s="213">
        <f t="shared" si="16"/>
        <v>0</v>
      </c>
      <c r="P41" s="212">
        <f>Mod[[#Totals],[Column30]]</f>
        <v>0</v>
      </c>
      <c r="Q41" s="212">
        <f>Mod[[#Totals],[Column29]]</f>
        <v>0</v>
      </c>
      <c r="R41" s="53">
        <f>IFERROR(P41/O41,0)</f>
        <v>0</v>
      </c>
      <c r="S41" s="55">
        <f>Mod[[#Totals],[Column26]]</f>
        <v>0</v>
      </c>
    </row>
    <row r="42" spans="1:19">
      <c r="A42" s="222"/>
      <c r="C42" s="205"/>
      <c r="D42" s="1"/>
      <c r="E42" s="1"/>
      <c r="F42" s="206"/>
      <c r="G42" s="205"/>
      <c r="H42" s="1"/>
      <c r="I42" s="1"/>
      <c r="J42" s="206"/>
      <c r="K42" s="207"/>
      <c r="L42" s="1"/>
      <c r="M42" s="1"/>
      <c r="N42" s="206"/>
      <c r="O42" s="207"/>
      <c r="P42" s="1"/>
      <c r="Q42" s="1"/>
      <c r="R42" s="206"/>
      <c r="S42" s="208"/>
    </row>
    <row r="43" spans="1:19" collapsed="1">
      <c r="A43" s="223">
        <v>17</v>
      </c>
      <c r="B43" s="224" t="s">
        <v>24</v>
      </c>
      <c r="C43" s="210">
        <f t="shared" si="35"/>
        <v>0</v>
      </c>
      <c r="D43" s="209">
        <f>Ship[[#Totals],[Column11]]</f>
        <v>0</v>
      </c>
      <c r="E43" s="209">
        <f>Ship[[#Totals],[Column12]]</f>
        <v>0</v>
      </c>
      <c r="F43" s="53">
        <f>IFERROR(D43/C43,0)</f>
        <v>0</v>
      </c>
      <c r="G43" s="210">
        <f t="shared" ref="G43" si="38">H43+I43</f>
        <v>0</v>
      </c>
      <c r="H43" s="209">
        <f>Ship[[#Totals],[Column16]]</f>
        <v>0</v>
      </c>
      <c r="I43" s="209">
        <f>Ship[[#Totals],[Column17]]</f>
        <v>0</v>
      </c>
      <c r="J43" s="53">
        <f>IFERROR(H43/G43,0)</f>
        <v>0</v>
      </c>
      <c r="K43" s="211">
        <f t="shared" ref="K43" si="39">L43+M43</f>
        <v>0</v>
      </c>
      <c r="L43" s="212">
        <f>Ship[[#Totals],[Column20]]</f>
        <v>0</v>
      </c>
      <c r="M43" s="212">
        <f>Ship[[#Totals],[Column21]]</f>
        <v>0</v>
      </c>
      <c r="N43" s="54">
        <f>IFERROR(L43/K43,0)</f>
        <v>0</v>
      </c>
      <c r="O43" s="213">
        <f t="shared" ref="O43:O45" si="40">P43+Q43</f>
        <v>0</v>
      </c>
      <c r="P43" s="212">
        <f>Ship[[#Totals],[Column30]]</f>
        <v>0</v>
      </c>
      <c r="Q43" s="212">
        <f>Ship[[#Totals],[Column29]]</f>
        <v>0</v>
      </c>
      <c r="R43" s="53">
        <f>IFERROR(P43/O43,0)</f>
        <v>0</v>
      </c>
      <c r="S43" s="55">
        <f>Ship[[#Totals],[Column26]]</f>
        <v>0</v>
      </c>
    </row>
    <row r="44" spans="1:19">
      <c r="A44" s="222"/>
      <c r="C44" s="205"/>
      <c r="D44" s="1"/>
      <c r="E44" s="1"/>
      <c r="F44" s="206"/>
      <c r="G44" s="205"/>
      <c r="H44" s="1"/>
      <c r="I44" s="1"/>
      <c r="J44" s="206"/>
      <c r="K44" s="207"/>
      <c r="L44" s="1"/>
      <c r="M44" s="1"/>
      <c r="N44" s="206"/>
      <c r="O44" s="207"/>
      <c r="P44" s="1"/>
      <c r="Q44" s="1"/>
      <c r="R44" s="206"/>
      <c r="S44" s="208"/>
    </row>
    <row r="45" spans="1:19" collapsed="1">
      <c r="A45" s="223">
        <v>18</v>
      </c>
      <c r="B45" s="225" t="s">
        <v>110</v>
      </c>
      <c r="C45" s="210">
        <f t="shared" ref="C45" si="41">D45+E45</f>
        <v>0</v>
      </c>
      <c r="D45" s="209">
        <f>Others[[#Totals],[Column11]]</f>
        <v>0</v>
      </c>
      <c r="E45" s="209">
        <f>Others[[#Totals],[Column12]]</f>
        <v>0</v>
      </c>
      <c r="F45" s="53">
        <f>IFERROR(D45/C45,0)</f>
        <v>0</v>
      </c>
      <c r="G45" s="210">
        <f t="shared" ref="G45" si="42">H45+I45</f>
        <v>0</v>
      </c>
      <c r="H45" s="209">
        <f>Others[[#Totals],[Column16]]</f>
        <v>0</v>
      </c>
      <c r="I45" s="209">
        <f>Others[[#Totals],[Column17]]</f>
        <v>0</v>
      </c>
      <c r="J45" s="53">
        <f>IFERROR(H45/G45,0)</f>
        <v>0</v>
      </c>
      <c r="K45" s="211">
        <f t="shared" ref="K45" si="43">L45+M45</f>
        <v>0</v>
      </c>
      <c r="L45" s="212">
        <f>Others[[#Totals],[Column20]]</f>
        <v>0</v>
      </c>
      <c r="M45" s="212">
        <f>Others[[#Totals],[Column21]]</f>
        <v>0</v>
      </c>
      <c r="N45" s="54">
        <f>IFERROR(L45/K45,0)</f>
        <v>0</v>
      </c>
      <c r="O45" s="213">
        <f t="shared" si="40"/>
        <v>0</v>
      </c>
      <c r="P45" s="212">
        <f>Others[[#Totals],[Column30]]</f>
        <v>0</v>
      </c>
      <c r="Q45" s="212">
        <f>Others[[#Totals],[Column29]]</f>
        <v>0</v>
      </c>
      <c r="R45" s="53">
        <f>IFERROR(P45/O45,0)</f>
        <v>0</v>
      </c>
      <c r="S45" s="55">
        <f>Others[[#Totals],[Column26]]</f>
        <v>0</v>
      </c>
    </row>
    <row r="46" spans="1:19">
      <c r="A46" s="222"/>
      <c r="C46" s="205"/>
      <c r="D46" s="1"/>
      <c r="E46" s="1"/>
      <c r="F46" s="206"/>
      <c r="G46" s="205"/>
      <c r="H46" s="1"/>
      <c r="I46" s="1"/>
      <c r="J46" s="206"/>
      <c r="K46" s="207"/>
      <c r="L46" s="1"/>
      <c r="M46" s="1"/>
      <c r="N46" s="206"/>
      <c r="O46" s="207"/>
      <c r="P46" s="1"/>
      <c r="Q46" s="1"/>
      <c r="R46" s="206"/>
      <c r="S46" s="208"/>
    </row>
    <row r="47" spans="1:19" ht="31.5" customHeight="1" thickBot="1">
      <c r="A47" s="296"/>
      <c r="B47" s="297"/>
      <c r="C47" s="214">
        <f>D47+E47</f>
        <v>0</v>
      </c>
      <c r="D47" s="215">
        <f>D11+D13+D15+D17+D19+D21+D23+D25+D27+D29+D31+D33+D35+D37+D39+D41+D43+D45</f>
        <v>0</v>
      </c>
      <c r="E47" s="215">
        <f>E11+E13+E15+E17+E19+E21+E23+E25+E27+E29+E31+E33+E35+E37+E39+E41+E43+E45</f>
        <v>0</v>
      </c>
      <c r="F47" s="46">
        <f>IFERROR(D47/C47,0)</f>
        <v>0</v>
      </c>
      <c r="G47" s="214">
        <f>H47+I47</f>
        <v>0</v>
      </c>
      <c r="H47" s="215">
        <f>H11+H13+H15+H17+H19+H21+H23+H25+H27+H29+H31+H33+H35+H37+H39+H41+H43+H45</f>
        <v>0</v>
      </c>
      <c r="I47" s="215">
        <f>I11+I13+I15+I17+I19+I21+I23+I25+I27+I29+I31+I33+I35+I37+I39+I41+I43+I45</f>
        <v>0</v>
      </c>
      <c r="J47" s="46">
        <f>IFERROR(H47/G47,0)</f>
        <v>0</v>
      </c>
      <c r="K47" s="216">
        <f>L47+M47</f>
        <v>0</v>
      </c>
      <c r="L47" s="217">
        <f>L11+L13+L15+L17+L19+L21+L23+L25+L27+L29+L31+L33+L35+L37+L39+L41+L43+L45</f>
        <v>0</v>
      </c>
      <c r="M47" s="217">
        <f>M11+M13+M15+M17+M19+M21+M23+M25+M27+M29+M31+M33+M35+M37+M39+M41+M43+M45</f>
        <v>0</v>
      </c>
      <c r="N47" s="47">
        <f>IFERROR(L47/K47,0)</f>
        <v>0</v>
      </c>
      <c r="O47" s="218">
        <f>P47+Q47</f>
        <v>0</v>
      </c>
      <c r="P47" s="217">
        <f>P11+P13+P15+P17+P19+P21+P23+P25+P27+P29+P31+P33+P35+P37+P39+P41+P43+P45</f>
        <v>0</v>
      </c>
      <c r="Q47" s="217">
        <f>Q11+Q13+Q15+Q17+Q19+Q21+Q23+Q25+Q27+Q29+Q31+Q33+Q35+Q37+Q39+Q41+Q43+Q45</f>
        <v>0</v>
      </c>
      <c r="R47" s="46" t="e">
        <f>P47/O47</f>
        <v>#DIV/0!</v>
      </c>
      <c r="S47" s="48">
        <f>IFERROR(O47/K47,0)</f>
        <v>0</v>
      </c>
    </row>
  </sheetData>
  <sheetProtection algorithmName="SHA-512" hashValue="qRU6VFwH+diQ98K43PWEudLtgChuFmYnhDQEFOcKh6He+t46pGgmG04iPw6ZSY6WU/KWUgUuRyxrs/52klPSDA==" saltValue="3nTVpbtmp0I992QtZiF2eQ==" spinCount="100000" sheet="1" objects="1" scenarios="1" formatRows="0"/>
  <dataConsolidate link="1">
    <dataRefs count="3">
      <dataRef ref="L13:AB13" sheet="#1"/>
      <dataRef ref="L13:AB13" sheet="#2"/>
      <dataRef ref="L13:AB13" sheet="#3"/>
    </dataRefs>
  </dataConsolidate>
  <mergeCells count="9">
    <mergeCell ref="A47:B47"/>
    <mergeCell ref="A8:N8"/>
    <mergeCell ref="O8:S8"/>
    <mergeCell ref="A9:A10"/>
    <mergeCell ref="B9:B10"/>
    <mergeCell ref="C9:F9"/>
    <mergeCell ref="G9:J9"/>
    <mergeCell ref="K9:N9"/>
    <mergeCell ref="O9:S9"/>
  </mergeCells>
  <hyperlinks>
    <hyperlink ref="B11" location="'#1'!A1" display="Feed And Detailed Engineering And Other Engineering Services" xr:uid="{4C6839F6-659F-4752-8AF6-9186DEFCE216}"/>
    <hyperlink ref="B13" location="'#2'!A1" display="Fabrication And Construction" xr:uid="{19EB9E51-A770-4D08-8448-77B629DD262C}"/>
    <hyperlink ref="B15" location="'#3'!A1" display="Materials And Procurement" xr:uid="{7B4B6292-6A9E-409F-BE7D-E3A51035D314}"/>
    <hyperlink ref="B17" location="'#4'!A1" display="Well &amp; Drilling Services / Petroleum Technology" xr:uid="{C5D08562-51CA-4BD6-A733-02C9EEF62B83}"/>
    <hyperlink ref="B19" location="'#5'!A1" display="Research And Development" xr:uid="{C21B087D-6138-4F34-9191-BD7BC521C5B7}"/>
    <hyperlink ref="B21" location="'#6'!A1" display="Exploration, Subsurface, Petroleum Engineering &amp; Seismic" xr:uid="{96C77B93-EC02-4C42-AD26-31F837710EC2}"/>
    <hyperlink ref="B23" location="'#7'!A1" display="Transportation / Supply / Disposal Services" xr:uid="{A728A33B-1869-45D1-BEC7-226EACC64AF3}"/>
    <hyperlink ref="B25" location="'#8'!A1" display="Health, Safety &amp; Environment" xr:uid="{5E4BA13A-42E1-49B6-B77E-9C21D33966D1}"/>
    <hyperlink ref="B27" location="'#9'!A1" display="Information Systems / Information Technology / Communication Services" xr:uid="{DDC9BC8A-397A-4C3D-8CA3-C151F65A1C26}"/>
    <hyperlink ref="B29" location="'#10'!A1" display="Marine, Operations &amp; Logistics Services" xr:uid="{D2D69007-82AB-4083-B418-404C3F32245C}"/>
    <hyperlink ref="B31" location="'#11'!A1" display="Finance &amp; Insurance" xr:uid="{63BFFE6F-33FD-4EAB-9D20-275883A64D24}"/>
    <hyperlink ref="B33" location="'#12'!A1" display="Installation, Hookup &amp; Commissioning" xr:uid="{82E02AC7-911E-4DA3-A2AB-FD98D4E5276B}"/>
    <hyperlink ref="B35" location="'#13'!A1" display="Inspection, Testing &amp; Certification" xr:uid="{F9312458-4F9C-478B-9A71-D1CF8F27202C}"/>
    <hyperlink ref="B37" location="'#14'!A1" display="Project Management / Consulting Services" xr:uid="{25C456F6-62D0-4F16-BCED-686E9539DFFB}"/>
    <hyperlink ref="B39" location="'#15'!A1" display="Surveying / Positioning Services" xr:uid="{FB97DE8E-6871-46C5-9636-25B688D6D51F}"/>
    <hyperlink ref="B41" location="'#16'!A1" display="Modification &amp; Maintenance" xr:uid="{9B41A19C-75FD-465E-84DF-8981B904E4D5}"/>
    <hyperlink ref="B43" location="'#17'!A1" display="Shipping" xr:uid="{8A92C232-15B2-4078-B65E-CA51C8824303}"/>
    <hyperlink ref="B45" location="'#18'!A1" display="Others (e.g HCD Training, CDI etc)" xr:uid="{B0DADAB2-275E-4EE5-8522-28FD0EFB5DA4}"/>
  </hyperlink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A4081-A924-4380-A5B5-9A66B7F0C8FF}">
  <dimension ref="A1:S47"/>
  <sheetViews>
    <sheetView view="pageBreakPreview" zoomScale="60" zoomScaleNormal="114" workbookViewId="0">
      <selection activeCell="A7" sqref="A7"/>
    </sheetView>
  </sheetViews>
  <sheetFormatPr defaultColWidth="9.1796875" defaultRowHeight="15.5"/>
  <cols>
    <col min="1" max="1" width="9.6328125" style="2" customWidth="1"/>
    <col min="2" max="2" width="60" style="2" customWidth="1"/>
    <col min="3" max="3" width="34.54296875" style="2" customWidth="1"/>
    <col min="4" max="4" width="32.36328125" style="2" customWidth="1"/>
    <col min="5" max="5" width="30.36328125" style="2" customWidth="1"/>
    <col min="6" max="6" width="10.90625" style="2" customWidth="1"/>
    <col min="7" max="7" width="10" style="2" customWidth="1"/>
    <col min="8" max="8" width="12.7265625" style="2" customWidth="1"/>
    <col min="9" max="9" width="13.81640625" style="2" customWidth="1"/>
    <col min="10" max="10" width="7.54296875" style="2" customWidth="1"/>
    <col min="11" max="11" width="14.08984375" style="2" customWidth="1"/>
    <col min="12" max="12" width="17.36328125" style="2" customWidth="1"/>
    <col min="13" max="13" width="15.90625" style="2" customWidth="1"/>
    <col min="14" max="14" width="7.54296875" style="2" customWidth="1"/>
    <col min="15" max="15" width="15.453125" style="2" customWidth="1"/>
    <col min="16" max="16" width="17.6328125" style="2" customWidth="1"/>
    <col min="17" max="17" width="17.7265625" style="2" customWidth="1"/>
    <col min="18" max="18" width="7.54296875" style="2" customWidth="1"/>
    <col min="19" max="19" width="13" style="2" customWidth="1"/>
    <col min="20" max="16384" width="9.1796875" style="2"/>
  </cols>
  <sheetData>
    <row r="1" spans="1:19" s="1" customFormat="1" ht="16" thickBot="1">
      <c r="B1" s="124" t="s">
        <v>121</v>
      </c>
      <c r="C1" s="125"/>
      <c r="D1" s="125"/>
      <c r="E1" s="125"/>
    </row>
    <row r="2" spans="1:19" s="1" customFormat="1" ht="16" thickBot="1">
      <c r="B2" s="126" t="s">
        <v>73</v>
      </c>
      <c r="C2" s="127">
        <f>IFERROR('Instruction '!C2,"-")</f>
        <v>0</v>
      </c>
      <c r="D2" s="128" t="s">
        <v>71</v>
      </c>
      <c r="E2" s="129">
        <f>'Instruction '!E2</f>
        <v>0</v>
      </c>
    </row>
    <row r="3" spans="1:19" s="1" customFormat="1" ht="16" thickBot="1">
      <c r="B3" s="130" t="s">
        <v>70</v>
      </c>
      <c r="C3" s="127">
        <f>IFERROR('Instruction '!C3,"-")</f>
        <v>0</v>
      </c>
      <c r="D3" s="130" t="s">
        <v>72</v>
      </c>
      <c r="E3" s="129">
        <f>'Instruction '!E3</f>
        <v>0</v>
      </c>
    </row>
    <row r="4" spans="1:19" s="1" customFormat="1" ht="29.5" customHeight="1" thickBot="1">
      <c r="B4" s="131" t="s">
        <v>74</v>
      </c>
      <c r="C4" s="132">
        <f>IFERROR('Instruction '!C4,"-")</f>
        <v>0</v>
      </c>
      <c r="D4" s="133" t="s">
        <v>75</v>
      </c>
      <c r="E4" s="195">
        <f>'Instruction '!E4</f>
        <v>0</v>
      </c>
    </row>
    <row r="5" spans="1:19" s="1" customFormat="1" ht="24.5" customHeight="1" thickBot="1">
      <c r="B5" s="135"/>
      <c r="C5" s="136"/>
      <c r="D5" s="133" t="s">
        <v>111</v>
      </c>
      <c r="E5" s="195">
        <f>'Instruction '!E5</f>
        <v>0</v>
      </c>
    </row>
    <row r="6" spans="1:19" s="1" customFormat="1" ht="16" thickBot="1">
      <c r="B6" s="135"/>
      <c r="C6" s="137"/>
      <c r="D6" s="138" t="s">
        <v>12</v>
      </c>
      <c r="E6" s="139">
        <f>'Instruction '!E6</f>
        <v>0</v>
      </c>
    </row>
    <row r="7" spans="1:19" ht="33" customHeight="1">
      <c r="A7" s="5" t="s">
        <v>63</v>
      </c>
    </row>
    <row r="8" spans="1:19" ht="56.5" customHeight="1" thickBot="1">
      <c r="A8" s="298" t="s">
        <v>122</v>
      </c>
      <c r="B8" s="298"/>
      <c r="C8" s="298"/>
      <c r="D8" s="298"/>
      <c r="E8" s="298"/>
      <c r="F8" s="298"/>
      <c r="G8" s="298"/>
      <c r="H8" s="298"/>
      <c r="I8" s="298"/>
      <c r="J8" s="298"/>
      <c r="K8" s="298"/>
      <c r="L8" s="298"/>
      <c r="M8" s="298"/>
      <c r="N8" s="299"/>
      <c r="O8" s="299"/>
      <c r="P8" s="300"/>
      <c r="Q8" s="300"/>
      <c r="R8" s="300"/>
      <c r="S8" s="301"/>
    </row>
    <row r="9" spans="1:19" ht="83.5" customHeight="1">
      <c r="A9" s="285" t="s">
        <v>6</v>
      </c>
      <c r="B9" s="287" t="s">
        <v>56</v>
      </c>
      <c r="C9" s="302" t="s">
        <v>84</v>
      </c>
      <c r="D9" s="303"/>
      <c r="E9" s="303"/>
      <c r="F9" s="304"/>
      <c r="G9" s="302" t="s">
        <v>69</v>
      </c>
      <c r="H9" s="303"/>
      <c r="I9" s="303"/>
      <c r="J9" s="304"/>
      <c r="K9" s="305" t="s">
        <v>64</v>
      </c>
      <c r="L9" s="306"/>
      <c r="M9" s="306"/>
      <c r="N9" s="306"/>
      <c r="O9" s="307" t="s">
        <v>86</v>
      </c>
      <c r="P9" s="308"/>
      <c r="Q9" s="308"/>
      <c r="R9" s="308"/>
      <c r="S9" s="309"/>
    </row>
    <row r="10" spans="1:19" ht="83.5" customHeight="1" thickBot="1">
      <c r="A10" s="286"/>
      <c r="B10" s="288"/>
      <c r="C10" s="196" t="s">
        <v>0</v>
      </c>
      <c r="D10" s="197" t="s">
        <v>93</v>
      </c>
      <c r="E10" s="197" t="s">
        <v>94</v>
      </c>
      <c r="F10" s="198" t="s">
        <v>12</v>
      </c>
      <c r="G10" s="196" t="s">
        <v>0</v>
      </c>
      <c r="H10" s="197" t="s">
        <v>93</v>
      </c>
      <c r="I10" s="197" t="s">
        <v>94</v>
      </c>
      <c r="J10" s="198" t="s">
        <v>12</v>
      </c>
      <c r="K10" s="196" t="s">
        <v>61</v>
      </c>
      <c r="L10" s="197" t="s">
        <v>92</v>
      </c>
      <c r="M10" s="197" t="s">
        <v>95</v>
      </c>
      <c r="N10" s="199" t="s">
        <v>12</v>
      </c>
      <c r="O10" s="196" t="s">
        <v>61</v>
      </c>
      <c r="P10" s="200" t="s">
        <v>92</v>
      </c>
      <c r="Q10" s="201" t="s">
        <v>96</v>
      </c>
      <c r="R10" s="197" t="s">
        <v>65</v>
      </c>
      <c r="S10" s="198" t="s">
        <v>35</v>
      </c>
    </row>
    <row r="11" spans="1:19" ht="31" collapsed="1">
      <c r="A11" s="121">
        <v>1</v>
      </c>
      <c r="B11" s="221" t="s">
        <v>1</v>
      </c>
      <c r="C11" s="202">
        <f>D11+E11</f>
        <v>0</v>
      </c>
      <c r="D11" s="164">
        <f>Eng[[#Totals],[Column11]]</f>
        <v>0</v>
      </c>
      <c r="E11" s="164">
        <f>Eng[[#Totals],[Column12]]</f>
        <v>0</v>
      </c>
      <c r="F11" s="49">
        <f>IFERROR(D11/C11,0)</f>
        <v>0</v>
      </c>
      <c r="G11" s="202">
        <f>H11+I11</f>
        <v>0</v>
      </c>
      <c r="H11" s="164">
        <f>Eng[[#Totals],[Column16]]</f>
        <v>0</v>
      </c>
      <c r="I11" s="164">
        <f>Eng[[#Totals],[Column17]]</f>
        <v>0</v>
      </c>
      <c r="J11" s="49">
        <f>IFERROR(H11/G11,0)</f>
        <v>0</v>
      </c>
      <c r="K11" s="203">
        <f>L11+M11</f>
        <v>0</v>
      </c>
      <c r="L11" s="204">
        <f>Eng[[#Totals],[Column20]]</f>
        <v>0</v>
      </c>
      <c r="M11" s="204">
        <f>Eng[[#Totals],[Column21]]</f>
        <v>0</v>
      </c>
      <c r="N11" s="50">
        <f>IFERROR(L11/K11,0)</f>
        <v>0</v>
      </c>
      <c r="O11" s="51">
        <f>P11+Q11</f>
        <v>0</v>
      </c>
      <c r="P11" s="204">
        <f>Eng[[#Totals],[Column30]]</f>
        <v>0</v>
      </c>
      <c r="Q11" s="204">
        <f>Eng[[#Totals],[Column29]]</f>
        <v>0</v>
      </c>
      <c r="R11" s="49">
        <f>IFERROR(P11/O11,0)</f>
        <v>0</v>
      </c>
      <c r="S11" s="52">
        <f>Eng[[#Totals],[Column26]]</f>
        <v>0</v>
      </c>
    </row>
    <row r="12" spans="1:19">
      <c r="A12" s="222"/>
      <c r="C12" s="205"/>
      <c r="D12" s="1"/>
      <c r="E12" s="1"/>
      <c r="F12" s="206"/>
      <c r="G12" s="205"/>
      <c r="H12" s="1"/>
      <c r="I12" s="1"/>
      <c r="J12" s="206"/>
      <c r="K12" s="207"/>
      <c r="L12" s="1"/>
      <c r="M12" s="1"/>
      <c r="N12" s="206"/>
      <c r="O12" s="207"/>
      <c r="P12" s="1"/>
      <c r="Q12" s="1"/>
      <c r="R12" s="206"/>
      <c r="S12" s="208"/>
    </row>
    <row r="13" spans="1:19" ht="19" customHeight="1" collapsed="1">
      <c r="A13" s="223">
        <v>2</v>
      </c>
      <c r="B13" s="224" t="s">
        <v>2</v>
      </c>
      <c r="C13" s="119">
        <f t="shared" ref="C13:C19" si="0">D13+E13</f>
        <v>0</v>
      </c>
      <c r="D13" s="209">
        <f>Fab[[#Totals],[Column11]]</f>
        <v>0</v>
      </c>
      <c r="E13" s="209">
        <f>Fab[[#Totals],[Column12]]</f>
        <v>0</v>
      </c>
      <c r="F13" s="53">
        <f>IFERROR(D13/C13,0)</f>
        <v>0</v>
      </c>
      <c r="G13" s="210">
        <f>H13+I13</f>
        <v>0</v>
      </c>
      <c r="H13" s="209">
        <f>Fab[[#Totals],[Column16]]</f>
        <v>0</v>
      </c>
      <c r="I13" s="209">
        <f>Fab[[#Totals],[Column17]]</f>
        <v>0</v>
      </c>
      <c r="J13" s="53">
        <f>IFERROR(H13/G13,0)</f>
        <v>0</v>
      </c>
      <c r="K13" s="211">
        <f t="shared" ref="K13:K17" si="1">L13+M13</f>
        <v>0</v>
      </c>
      <c r="L13" s="212">
        <f>Fab[[#Totals],[Column16]]</f>
        <v>0</v>
      </c>
      <c r="M13" s="212">
        <f>Fab[[#Totals],[Column21]]</f>
        <v>0</v>
      </c>
      <c r="N13" s="54">
        <f>IFERROR(L13/K13,0)</f>
        <v>0</v>
      </c>
      <c r="O13" s="213">
        <f t="shared" ref="O13:O21" si="2">P13+Q13</f>
        <v>0</v>
      </c>
      <c r="P13" s="212">
        <f>Fab[[#Totals],[Column30]]</f>
        <v>0</v>
      </c>
      <c r="Q13" s="212">
        <f>Fab[[#Totals],[Column29]]</f>
        <v>0</v>
      </c>
      <c r="R13" s="53">
        <f>IFERROR(P13/O13,0)</f>
        <v>0</v>
      </c>
      <c r="S13" s="55">
        <f>Fab[[#Totals],[Column26]]</f>
        <v>0</v>
      </c>
    </row>
    <row r="14" spans="1:19">
      <c r="A14" s="222"/>
      <c r="C14" s="205"/>
      <c r="D14" s="1"/>
      <c r="E14" s="1"/>
      <c r="F14" s="206"/>
      <c r="G14" s="205"/>
      <c r="H14" s="1"/>
      <c r="I14" s="1"/>
      <c r="J14" s="206"/>
      <c r="K14" s="207"/>
      <c r="L14" s="1"/>
      <c r="M14" s="1"/>
      <c r="N14" s="206"/>
      <c r="O14" s="207"/>
      <c r="P14" s="1"/>
      <c r="Q14" s="1"/>
      <c r="R14" s="206"/>
      <c r="S14" s="208"/>
    </row>
    <row r="15" spans="1:19" collapsed="1">
      <c r="A15" s="223">
        <v>3</v>
      </c>
      <c r="B15" s="224" t="s">
        <v>16</v>
      </c>
      <c r="C15" s="119">
        <f t="shared" si="0"/>
        <v>0</v>
      </c>
      <c r="D15" s="209">
        <f>Mat[[#Totals],[Column11]]</f>
        <v>0</v>
      </c>
      <c r="E15" s="209">
        <f>Mat[[#Totals],[Column12]]</f>
        <v>0</v>
      </c>
      <c r="F15" s="53">
        <f>IFERROR(D15/C15,0)</f>
        <v>0</v>
      </c>
      <c r="G15" s="119">
        <f>H15+I15</f>
        <v>0</v>
      </c>
      <c r="H15" s="209">
        <f>Mat[[#Totals],[Column16]]</f>
        <v>0</v>
      </c>
      <c r="I15" s="209">
        <f>Mat[[#Totals],[Column17]]</f>
        <v>0</v>
      </c>
      <c r="J15" s="53">
        <f>IFERROR(H15/G15,0)</f>
        <v>0</v>
      </c>
      <c r="K15" s="211">
        <f t="shared" si="1"/>
        <v>0</v>
      </c>
      <c r="L15" s="212">
        <f>Mat[[#Totals],[Column20]]</f>
        <v>0</v>
      </c>
      <c r="M15" s="212">
        <f>Mat[[#Totals],[Column21]]</f>
        <v>0</v>
      </c>
      <c r="N15" s="54">
        <f>IFERROR(L15/K15,0)</f>
        <v>0</v>
      </c>
      <c r="O15" s="56">
        <f t="shared" si="2"/>
        <v>0</v>
      </c>
      <c r="P15" s="212">
        <f>Mat[[#Totals],[Column29]]</f>
        <v>0</v>
      </c>
      <c r="Q15" s="212">
        <f>Mat[[#Totals],[Column29]]</f>
        <v>0</v>
      </c>
      <c r="R15" s="53">
        <f>IFERROR(P15/O15,0)</f>
        <v>0</v>
      </c>
      <c r="S15" s="55">
        <f>Mat[[#Totals],[Column26]]</f>
        <v>0</v>
      </c>
    </row>
    <row r="16" spans="1:19">
      <c r="A16" s="222"/>
      <c r="C16" s="205"/>
      <c r="D16" s="1"/>
      <c r="E16" s="1"/>
      <c r="F16" s="206"/>
      <c r="G16" s="205"/>
      <c r="H16" s="1"/>
      <c r="I16" s="1"/>
      <c r="J16" s="206"/>
      <c r="K16" s="207"/>
      <c r="L16" s="1"/>
      <c r="M16" s="1"/>
      <c r="N16" s="206"/>
      <c r="O16" s="207"/>
      <c r="P16" s="1"/>
      <c r="Q16" s="1"/>
      <c r="R16" s="206"/>
      <c r="S16" s="208"/>
    </row>
    <row r="17" spans="1:19" collapsed="1">
      <c r="A17" s="223">
        <v>4</v>
      </c>
      <c r="B17" s="224" t="s">
        <v>3</v>
      </c>
      <c r="C17" s="210">
        <f>D17+E17</f>
        <v>0</v>
      </c>
      <c r="D17" s="209">
        <f>Well[[#Totals],[Column11]]</f>
        <v>0</v>
      </c>
      <c r="E17" s="209">
        <f>Well[[#Totals],[Column12]]</f>
        <v>0</v>
      </c>
      <c r="F17" s="53">
        <f>IFERROR(D17/C17,0)</f>
        <v>0</v>
      </c>
      <c r="G17" s="210">
        <f>H17+I17</f>
        <v>0</v>
      </c>
      <c r="H17" s="209">
        <f>Well[[#Totals],[Column16]]</f>
        <v>0</v>
      </c>
      <c r="I17" s="209">
        <f>Well[[#Totals],[Column17]]</f>
        <v>0</v>
      </c>
      <c r="J17" s="53">
        <f>IFERROR(H17/G17,0)</f>
        <v>0</v>
      </c>
      <c r="K17" s="211">
        <f t="shared" si="1"/>
        <v>0</v>
      </c>
      <c r="L17" s="212">
        <f>Well[[#Totals],[Column20]]</f>
        <v>0</v>
      </c>
      <c r="M17" s="212">
        <f>Well[[#Totals],[Column21]]</f>
        <v>0</v>
      </c>
      <c r="N17" s="54">
        <f>IFERROR(L17/K17,0)</f>
        <v>0</v>
      </c>
      <c r="O17" s="213">
        <f t="shared" si="2"/>
        <v>0</v>
      </c>
      <c r="P17" s="212">
        <f>Well[[#Totals],[Column30]]</f>
        <v>0</v>
      </c>
      <c r="Q17" s="212">
        <f>Well[[#Totals],[Column29]]</f>
        <v>0</v>
      </c>
      <c r="R17" s="53">
        <f>IFERROR(P17/O17,0)</f>
        <v>0</v>
      </c>
      <c r="S17" s="55">
        <f>Well[[#Totals],[Column26]]</f>
        <v>0</v>
      </c>
    </row>
    <row r="18" spans="1:19">
      <c r="A18" s="222"/>
      <c r="C18" s="205"/>
      <c r="D18" s="1"/>
      <c r="E18" s="1"/>
      <c r="F18" s="206"/>
      <c r="G18" s="205"/>
      <c r="H18" s="1"/>
      <c r="I18" s="1"/>
      <c r="J18" s="206"/>
      <c r="K18" s="207"/>
      <c r="L18" s="1"/>
      <c r="M18" s="1"/>
      <c r="N18" s="206"/>
      <c r="O18" s="207"/>
      <c r="P18" s="1"/>
      <c r="Q18" s="1"/>
      <c r="R18" s="206"/>
      <c r="S18" s="57"/>
    </row>
    <row r="19" spans="1:19" collapsed="1">
      <c r="A19" s="223">
        <v>5</v>
      </c>
      <c r="B19" s="224" t="s">
        <v>17</v>
      </c>
      <c r="C19" s="210">
        <f t="shared" si="0"/>
        <v>0</v>
      </c>
      <c r="D19" s="209">
        <f>Res[[#Totals],[Column11]]</f>
        <v>0</v>
      </c>
      <c r="E19" s="209">
        <f>Res[[#Totals],[Column12]]</f>
        <v>0</v>
      </c>
      <c r="F19" s="53">
        <f>IFERROR(D19/C19,0)</f>
        <v>0</v>
      </c>
      <c r="G19" s="210">
        <f t="shared" ref="G19" si="3">H19+I19</f>
        <v>0</v>
      </c>
      <c r="H19" s="209">
        <f>Res[[#Totals],[Column16]]</f>
        <v>0</v>
      </c>
      <c r="I19" s="209">
        <f>Res[[#Totals],[Column17]]</f>
        <v>0</v>
      </c>
      <c r="J19" s="53">
        <f>IFERROR(H19/G19,0)</f>
        <v>0</v>
      </c>
      <c r="K19" s="211">
        <f t="shared" ref="K19" si="4">L19+M19</f>
        <v>0</v>
      </c>
      <c r="L19" s="212">
        <f>Res[[#Totals],[Column20]]</f>
        <v>0</v>
      </c>
      <c r="M19" s="212">
        <f>Res[[#Totals],[Column21]]</f>
        <v>0</v>
      </c>
      <c r="N19" s="54">
        <f>IFERROR(L19/K19,0)</f>
        <v>0</v>
      </c>
      <c r="O19" s="213">
        <f t="shared" si="2"/>
        <v>0</v>
      </c>
      <c r="P19" s="212">
        <f>Res[[#Totals],[Column30]]</f>
        <v>0</v>
      </c>
      <c r="Q19" s="212">
        <f>Res[[#Totals],[Column29]]</f>
        <v>0</v>
      </c>
      <c r="R19" s="53">
        <f>Res[[#Totals],[Column25]]</f>
        <v>0</v>
      </c>
      <c r="S19" s="55">
        <f>Res[[#Totals],[Column26]]</f>
        <v>0</v>
      </c>
    </row>
    <row r="20" spans="1:19">
      <c r="A20" s="222"/>
      <c r="C20" s="205"/>
      <c r="D20" s="1"/>
      <c r="E20" s="1"/>
      <c r="F20" s="206"/>
      <c r="G20" s="205"/>
      <c r="H20" s="1"/>
      <c r="I20" s="1"/>
      <c r="J20" s="206"/>
      <c r="K20" s="207"/>
      <c r="L20" s="1"/>
      <c r="M20" s="1"/>
      <c r="N20" s="206"/>
      <c r="O20" s="207"/>
      <c r="P20" s="1"/>
      <c r="Q20" s="1"/>
      <c r="R20" s="206"/>
      <c r="S20" s="208"/>
    </row>
    <row r="21" spans="1:19" collapsed="1">
      <c r="A21" s="223">
        <v>6</v>
      </c>
      <c r="B21" s="224" t="s">
        <v>4</v>
      </c>
      <c r="C21" s="210">
        <f t="shared" ref="C21:C27" si="5">D21+E21</f>
        <v>0</v>
      </c>
      <c r="D21" s="209">
        <f>Exp[[#Totals],[Column11]]</f>
        <v>0</v>
      </c>
      <c r="E21" s="209">
        <f>Exp[[#Totals],[Column12]]</f>
        <v>0</v>
      </c>
      <c r="F21" s="53">
        <f>IFERROR(D21/C21,0)</f>
        <v>0</v>
      </c>
      <c r="G21" s="210">
        <f t="shared" ref="G21" si="6">H21+I21</f>
        <v>0</v>
      </c>
      <c r="H21" s="209">
        <f>Exp[[#Totals],[Column16]]</f>
        <v>0</v>
      </c>
      <c r="I21" s="209">
        <f>Exp[[#Totals],[Column17]]</f>
        <v>0</v>
      </c>
      <c r="J21" s="53">
        <f>IFERROR(H21/G21,0)</f>
        <v>0</v>
      </c>
      <c r="K21" s="211">
        <f t="shared" ref="K21" si="7">L21+M21</f>
        <v>0</v>
      </c>
      <c r="L21" s="212">
        <f>Exp[[#Totals],[Column20]]</f>
        <v>0</v>
      </c>
      <c r="M21" s="212">
        <f>Exp[[#Totals],[Column21]]</f>
        <v>0</v>
      </c>
      <c r="N21" s="54">
        <f>IFERROR(L21/K21,0)</f>
        <v>0</v>
      </c>
      <c r="O21" s="213">
        <f t="shared" si="2"/>
        <v>0</v>
      </c>
      <c r="P21" s="212">
        <f>Exp[[#Totals],[Column30]]</f>
        <v>0</v>
      </c>
      <c r="Q21" s="212">
        <f>Exp[[#Totals],[Column29]]</f>
        <v>0</v>
      </c>
      <c r="R21" s="53">
        <f>IFERROR(P21/O21,0)</f>
        <v>0</v>
      </c>
      <c r="S21" s="55">
        <f>Exp[[#Totals],[Column26]]</f>
        <v>0</v>
      </c>
    </row>
    <row r="22" spans="1:19">
      <c r="A22" s="222"/>
      <c r="C22" s="205"/>
      <c r="D22" s="1"/>
      <c r="E22" s="1"/>
      <c r="F22" s="206"/>
      <c r="G22" s="205"/>
      <c r="H22" s="1"/>
      <c r="I22" s="1"/>
      <c r="J22" s="206"/>
      <c r="K22" s="207"/>
      <c r="L22" s="1"/>
      <c r="M22" s="1"/>
      <c r="N22" s="206"/>
      <c r="O22" s="207"/>
      <c r="P22" s="1"/>
      <c r="Q22" s="1"/>
      <c r="R22" s="206"/>
      <c r="S22" s="208"/>
    </row>
    <row r="23" spans="1:19" collapsed="1">
      <c r="A23" s="223">
        <v>7</v>
      </c>
      <c r="B23" s="224" t="s">
        <v>9</v>
      </c>
      <c r="C23" s="210">
        <f t="shared" si="5"/>
        <v>0</v>
      </c>
      <c r="D23" s="209">
        <f>Trans[[#Totals],[Column11]]</f>
        <v>0</v>
      </c>
      <c r="E23" s="209">
        <f>Trans[[#Totals],[Column12]]</f>
        <v>0</v>
      </c>
      <c r="F23" s="53">
        <f>IFERROR(D23/C23,0)</f>
        <v>0</v>
      </c>
      <c r="G23" s="210">
        <f t="shared" ref="G23" si="8">H23+I23</f>
        <v>0</v>
      </c>
      <c r="H23" s="209">
        <f>Trans[[#Totals],[Column16]]</f>
        <v>0</v>
      </c>
      <c r="I23" s="209">
        <f>Trans[[#Totals],[Column17]]</f>
        <v>0</v>
      </c>
      <c r="J23" s="53">
        <f>IFERROR(H23/G23,0)</f>
        <v>0</v>
      </c>
      <c r="K23" s="211">
        <f t="shared" ref="K23" si="9">L23+M23</f>
        <v>0</v>
      </c>
      <c r="L23" s="212">
        <f>Trans[[#Totals],[Column20]]</f>
        <v>0</v>
      </c>
      <c r="M23" s="212">
        <f>Trans[[#Totals],[Column21]]</f>
        <v>0</v>
      </c>
      <c r="N23" s="54">
        <f>IFERROR(L23/K23,0)</f>
        <v>0</v>
      </c>
      <c r="O23" s="213">
        <f t="shared" ref="O23" si="10">P23+Q23</f>
        <v>0</v>
      </c>
      <c r="P23" s="212">
        <f>Trans[[#Totals],[Column30]]</f>
        <v>0</v>
      </c>
      <c r="Q23" s="212">
        <f>Trans[[#Totals],[Column29]]</f>
        <v>0</v>
      </c>
      <c r="R23" s="53">
        <f>IFERROR(P23/O23,0)</f>
        <v>0</v>
      </c>
      <c r="S23" s="55">
        <f>Trans[[#Totals],[Column26]]</f>
        <v>0</v>
      </c>
    </row>
    <row r="24" spans="1:19">
      <c r="A24" s="222"/>
      <c r="C24" s="205"/>
      <c r="D24" s="1"/>
      <c r="E24" s="1"/>
      <c r="F24" s="206"/>
      <c r="G24" s="205"/>
      <c r="H24" s="1"/>
      <c r="I24" s="1"/>
      <c r="J24" s="206"/>
      <c r="K24" s="207"/>
      <c r="L24" s="1"/>
      <c r="M24" s="1"/>
      <c r="N24" s="206"/>
      <c r="O24" s="207"/>
      <c r="P24" s="1"/>
      <c r="Q24" s="1"/>
      <c r="R24" s="206"/>
      <c r="S24" s="208"/>
    </row>
    <row r="25" spans="1:19" collapsed="1">
      <c r="A25" s="223">
        <v>8</v>
      </c>
      <c r="B25" s="224" t="s">
        <v>5</v>
      </c>
      <c r="C25" s="210">
        <f t="shared" si="5"/>
        <v>0</v>
      </c>
      <c r="D25" s="209">
        <f>Health[[#Totals],[Column11]]</f>
        <v>0</v>
      </c>
      <c r="E25" s="209">
        <f>Health[[#Totals],[Column12]]</f>
        <v>0</v>
      </c>
      <c r="F25" s="53">
        <f>IFERROR(D25/C25,0)</f>
        <v>0</v>
      </c>
      <c r="G25" s="210">
        <f t="shared" ref="G25" si="11">H25+I25</f>
        <v>0</v>
      </c>
      <c r="H25" s="209">
        <f>Health[[#Totals],[Column16]]</f>
        <v>0</v>
      </c>
      <c r="I25" s="209">
        <f>Health[[#Totals],[Column17]]</f>
        <v>0</v>
      </c>
      <c r="J25" s="53">
        <f>IFERROR(H25/G25,0)</f>
        <v>0</v>
      </c>
      <c r="K25" s="211">
        <f t="shared" ref="K25" si="12">L25+M25</f>
        <v>0</v>
      </c>
      <c r="L25" s="212">
        <f>Health[[#Totals],[Column20]]</f>
        <v>0</v>
      </c>
      <c r="M25" s="212">
        <f>Health[[#Totals],[Column21]]</f>
        <v>0</v>
      </c>
      <c r="N25" s="54">
        <f>IFERROR(L25/K25,0)</f>
        <v>0</v>
      </c>
      <c r="O25" s="213">
        <f t="shared" ref="O25" si="13">P25+Q25</f>
        <v>0</v>
      </c>
      <c r="P25" s="212">
        <f>Health[[#Totals],[Column30]]</f>
        <v>0</v>
      </c>
      <c r="Q25" s="212">
        <f>Health[[#Totals],[Column29]]</f>
        <v>0</v>
      </c>
      <c r="R25" s="53">
        <f>IFERROR(P25/O25,0)</f>
        <v>0</v>
      </c>
      <c r="S25" s="55">
        <f>Health[[#Totals],[Column26]]</f>
        <v>0</v>
      </c>
    </row>
    <row r="26" spans="1:19">
      <c r="A26" s="222"/>
      <c r="C26" s="205"/>
      <c r="D26" s="1"/>
      <c r="E26" s="1"/>
      <c r="F26" s="206"/>
      <c r="G26" s="205"/>
      <c r="H26" s="1"/>
      <c r="I26" s="1"/>
      <c r="J26" s="206"/>
      <c r="K26" s="207"/>
      <c r="L26" s="1"/>
      <c r="M26" s="1"/>
      <c r="N26" s="206"/>
      <c r="O26" s="207"/>
      <c r="P26" s="1"/>
      <c r="Q26" s="1"/>
      <c r="R26" s="206"/>
      <c r="S26" s="208"/>
    </row>
    <row r="27" spans="1:19" ht="31" collapsed="1">
      <c r="A27" s="223">
        <v>9</v>
      </c>
      <c r="B27" s="224" t="s">
        <v>11</v>
      </c>
      <c r="C27" s="210">
        <f t="shared" si="5"/>
        <v>0</v>
      </c>
      <c r="D27" s="209">
        <f>Info[[#Totals],[Column11]]</f>
        <v>0</v>
      </c>
      <c r="E27" s="209">
        <f>Info[[#Totals],[Column12]]</f>
        <v>0</v>
      </c>
      <c r="F27" s="53">
        <f>IFERROR(D27/C27,0)</f>
        <v>0</v>
      </c>
      <c r="G27" s="210">
        <f t="shared" ref="G27" si="14">H27+I27</f>
        <v>0</v>
      </c>
      <c r="H27" s="209">
        <f>Info[[#Totals],[Column16]]</f>
        <v>0</v>
      </c>
      <c r="I27" s="209">
        <f>Info[[#Totals],[Column17]]</f>
        <v>0</v>
      </c>
      <c r="J27" s="53">
        <f>IFERROR(H27/G27,0)</f>
        <v>0</v>
      </c>
      <c r="K27" s="211">
        <f t="shared" ref="K27" si="15">L27+M27</f>
        <v>0</v>
      </c>
      <c r="L27" s="212">
        <f>Info[[#Totals],[Column20]]</f>
        <v>0</v>
      </c>
      <c r="M27" s="212">
        <f>Info[[#Totals],[Column21]]</f>
        <v>0</v>
      </c>
      <c r="N27" s="54">
        <f>IFERROR(L27/K27,0)</f>
        <v>0</v>
      </c>
      <c r="O27" s="213">
        <f t="shared" ref="O27:O41" si="16">P27+Q27</f>
        <v>0</v>
      </c>
      <c r="P27" s="212">
        <f>Info[[#Totals],[Column30]]</f>
        <v>0</v>
      </c>
      <c r="Q27" s="212">
        <f>Info[[#Totals],[Column29]]</f>
        <v>0</v>
      </c>
      <c r="R27" s="53">
        <f>Info[[#Totals],[Column25]]</f>
        <v>0</v>
      </c>
      <c r="S27" s="55">
        <f>Info[[#Totals],[Column26]]</f>
        <v>0</v>
      </c>
    </row>
    <row r="28" spans="1:19">
      <c r="A28" s="222"/>
      <c r="C28" s="205"/>
      <c r="D28" s="1"/>
      <c r="E28" s="1"/>
      <c r="F28" s="206"/>
      <c r="G28" s="205"/>
      <c r="H28" s="1"/>
      <c r="I28" s="1"/>
      <c r="J28" s="206"/>
      <c r="K28" s="207"/>
      <c r="L28" s="1"/>
      <c r="M28" s="1"/>
      <c r="N28" s="206"/>
      <c r="O28" s="207"/>
      <c r="P28" s="1"/>
      <c r="Q28" s="1"/>
      <c r="R28" s="206"/>
      <c r="S28" s="208"/>
    </row>
    <row r="29" spans="1:19" collapsed="1">
      <c r="A29" s="223">
        <v>10</v>
      </c>
      <c r="B29" s="224" t="s">
        <v>18</v>
      </c>
      <c r="C29" s="210">
        <f t="shared" ref="C29" si="17">D29+E29</f>
        <v>0</v>
      </c>
      <c r="D29" s="209">
        <f>Mar[[#Totals],[Column11]]</f>
        <v>0</v>
      </c>
      <c r="E29" s="209">
        <f>Mar[[#Totals],[Column12]]</f>
        <v>0</v>
      </c>
      <c r="F29" s="53">
        <f>IFERROR(D29/C29,0)</f>
        <v>0</v>
      </c>
      <c r="G29" s="210">
        <f t="shared" ref="G29" si="18">H29+I29</f>
        <v>0</v>
      </c>
      <c r="H29" s="209">
        <f>Mar[[#Totals],[Column16]]</f>
        <v>0</v>
      </c>
      <c r="I29" s="209">
        <f>Mar[[#Totals],[Column17]]</f>
        <v>0</v>
      </c>
      <c r="J29" s="53">
        <f>IFERROR(H29/G29,0)</f>
        <v>0</v>
      </c>
      <c r="K29" s="211">
        <f t="shared" ref="K29" si="19">L29+M29</f>
        <v>0</v>
      </c>
      <c r="L29" s="212">
        <f>Mar[[#Totals],[Column20]]</f>
        <v>0</v>
      </c>
      <c r="M29" s="212">
        <f>Mar[[#Totals],[Column21]]</f>
        <v>0</v>
      </c>
      <c r="N29" s="54">
        <f>IFERROR(L29/K29,0)</f>
        <v>0</v>
      </c>
      <c r="O29" s="213">
        <f t="shared" si="16"/>
        <v>0</v>
      </c>
      <c r="P29" s="212">
        <f>Mar[[#Totals],[Column30]]</f>
        <v>0</v>
      </c>
      <c r="Q29" s="212">
        <f>Mar[[#Totals],[Column29]]</f>
        <v>0</v>
      </c>
      <c r="R29" s="53">
        <f>IFERROR(P29/O29,0)</f>
        <v>0</v>
      </c>
      <c r="S29" s="55">
        <f>Mar[[#Totals],[Column26]]</f>
        <v>0</v>
      </c>
    </row>
    <row r="30" spans="1:19">
      <c r="A30" s="222"/>
      <c r="C30" s="205"/>
      <c r="D30" s="1"/>
      <c r="E30" s="1"/>
      <c r="F30" s="206"/>
      <c r="G30" s="205"/>
      <c r="H30" s="1"/>
      <c r="I30" s="1"/>
      <c r="J30" s="206"/>
      <c r="K30" s="207"/>
      <c r="L30" s="1"/>
      <c r="M30" s="1"/>
      <c r="N30" s="206"/>
      <c r="O30" s="207"/>
      <c r="P30" s="1"/>
      <c r="Q30" s="1"/>
      <c r="R30" s="206"/>
      <c r="S30" s="208"/>
    </row>
    <row r="31" spans="1:19" collapsed="1">
      <c r="A31" s="223">
        <v>11</v>
      </c>
      <c r="B31" s="224" t="s">
        <v>19</v>
      </c>
      <c r="C31" s="210">
        <f t="shared" ref="C31" si="20">D31+E31</f>
        <v>0</v>
      </c>
      <c r="D31" s="209">
        <f>Fin[[#Totals],[Column11]]</f>
        <v>0</v>
      </c>
      <c r="E31" s="209">
        <f>Fin[[#Totals],[Column12]]</f>
        <v>0</v>
      </c>
      <c r="F31" s="53">
        <f>IFERROR(D31/C31,0)</f>
        <v>0</v>
      </c>
      <c r="G31" s="210">
        <f t="shared" ref="G31" si="21">H31+I31</f>
        <v>0</v>
      </c>
      <c r="H31" s="209">
        <f>Fin[[#Totals],[Column16]]</f>
        <v>0</v>
      </c>
      <c r="I31" s="209">
        <f>Fin[[#Totals],[Column17]]</f>
        <v>0</v>
      </c>
      <c r="J31" s="53">
        <f>IFERROR(H31/G31,0)</f>
        <v>0</v>
      </c>
      <c r="K31" s="211">
        <f t="shared" ref="K31" si="22">L31+M31</f>
        <v>0</v>
      </c>
      <c r="L31" s="212">
        <f>Fin[[#Totals],[Column20]]</f>
        <v>0</v>
      </c>
      <c r="M31" s="212">
        <f>Fin[[#Totals],[Column21]]</f>
        <v>0</v>
      </c>
      <c r="N31" s="54">
        <f>IFERROR(L31/K31,0)</f>
        <v>0</v>
      </c>
      <c r="O31" s="213">
        <f t="shared" si="16"/>
        <v>0</v>
      </c>
      <c r="P31" s="212">
        <f>Fin[[#Totals],[Column30]]</f>
        <v>0</v>
      </c>
      <c r="Q31" s="212">
        <f>Fin[[#Totals],[Column29]]</f>
        <v>0</v>
      </c>
      <c r="R31" s="53">
        <f>IFERROR(P31/O31,0)</f>
        <v>0</v>
      </c>
      <c r="S31" s="55">
        <f>Fin[[#Totals],[Column26]]</f>
        <v>0</v>
      </c>
    </row>
    <row r="32" spans="1:19">
      <c r="A32" s="222"/>
      <c r="C32" s="205"/>
      <c r="D32" s="1"/>
      <c r="E32" s="1"/>
      <c r="F32" s="206"/>
      <c r="G32" s="205"/>
      <c r="H32" s="1"/>
      <c r="I32" s="1"/>
      <c r="J32" s="206"/>
      <c r="K32" s="207"/>
      <c r="L32" s="1"/>
      <c r="M32" s="1"/>
      <c r="N32" s="206"/>
      <c r="O32" s="207"/>
      <c r="P32" s="1"/>
      <c r="Q32" s="1"/>
      <c r="R32" s="206"/>
      <c r="S32" s="208"/>
    </row>
    <row r="33" spans="1:19" collapsed="1">
      <c r="A33" s="223">
        <v>12</v>
      </c>
      <c r="B33" s="224" t="s">
        <v>20</v>
      </c>
      <c r="C33" s="210">
        <f t="shared" ref="C33" si="23">D33+E33</f>
        <v>0</v>
      </c>
      <c r="D33" s="209">
        <f>Inst[[#Totals],[Column11]]</f>
        <v>0</v>
      </c>
      <c r="E33" s="209">
        <f>Inst[[#Totals],[Column12]]</f>
        <v>0</v>
      </c>
      <c r="F33" s="53">
        <f>IFERROR(D33/C33,0)</f>
        <v>0</v>
      </c>
      <c r="G33" s="210">
        <f t="shared" ref="G33" si="24">H33+I33</f>
        <v>0</v>
      </c>
      <c r="H33" s="209">
        <f>Inst[[#Totals],[Column16]]</f>
        <v>0</v>
      </c>
      <c r="I33" s="209">
        <f>Inst[[#Totals],[Column17]]</f>
        <v>0</v>
      </c>
      <c r="J33" s="53">
        <f>IFERROR(H33/G33,0)</f>
        <v>0</v>
      </c>
      <c r="K33" s="211">
        <f t="shared" ref="K33" si="25">L33+M33</f>
        <v>0</v>
      </c>
      <c r="L33" s="212">
        <f>Inst[[#Totals],[Column20]]</f>
        <v>0</v>
      </c>
      <c r="M33" s="212">
        <f>Inst[[#Totals],[Column29]]</f>
        <v>0</v>
      </c>
      <c r="N33" s="54">
        <f>IFERROR(L33/K33,0)</f>
        <v>0</v>
      </c>
      <c r="O33" s="213">
        <f t="shared" si="16"/>
        <v>0</v>
      </c>
      <c r="P33" s="212">
        <f>Inst[[#Totals],[Column30]]</f>
        <v>0</v>
      </c>
      <c r="Q33" s="212">
        <f>Inst[[#Totals],[Column29]]</f>
        <v>0</v>
      </c>
      <c r="R33" s="53">
        <f>IFERROR(P33/O33,0)</f>
        <v>0</v>
      </c>
      <c r="S33" s="55">
        <f>Inst[[#Totals],[Column26]]</f>
        <v>0</v>
      </c>
    </row>
    <row r="34" spans="1:19">
      <c r="A34" s="222"/>
      <c r="C34" s="205"/>
      <c r="D34" s="1"/>
      <c r="E34" s="1"/>
      <c r="F34" s="206"/>
      <c r="G34" s="205"/>
      <c r="H34" s="1"/>
      <c r="I34" s="1"/>
      <c r="J34" s="206"/>
      <c r="K34" s="207"/>
      <c r="L34" s="1"/>
      <c r="M34" s="1"/>
      <c r="N34" s="206"/>
      <c r="O34" s="207"/>
      <c r="P34" s="1"/>
      <c r="Q34" s="1"/>
      <c r="R34" s="206"/>
      <c r="S34" s="208"/>
    </row>
    <row r="35" spans="1:19" collapsed="1">
      <c r="A35" s="223">
        <v>13</v>
      </c>
      <c r="B35" s="224" t="s">
        <v>21</v>
      </c>
      <c r="C35" s="210">
        <f t="shared" ref="C35" si="26">D35+E35</f>
        <v>0</v>
      </c>
      <c r="D35" s="209">
        <f>Insp[[#Totals],[Column11]]</f>
        <v>0</v>
      </c>
      <c r="E35" s="209">
        <f>Insp[[#Totals],[Column12]]</f>
        <v>0</v>
      </c>
      <c r="F35" s="53">
        <f>IFERROR(D35/C35,0)</f>
        <v>0</v>
      </c>
      <c r="G35" s="210">
        <f t="shared" ref="G35" si="27">H35+I35</f>
        <v>0</v>
      </c>
      <c r="H35" s="209">
        <f>Insp[[#Totals],[Column16]]</f>
        <v>0</v>
      </c>
      <c r="I35" s="209">
        <f>Insp[[#Totals],[Column17]]</f>
        <v>0</v>
      </c>
      <c r="J35" s="53">
        <f>IFERROR(H35/G35,0)</f>
        <v>0</v>
      </c>
      <c r="K35" s="211">
        <f t="shared" ref="K35" si="28">L35+M35</f>
        <v>0</v>
      </c>
      <c r="L35" s="212">
        <f>Insp[[#Totals],[Column20]]</f>
        <v>0</v>
      </c>
      <c r="M35" s="212">
        <f>Insp[[#Totals],[Column21]]</f>
        <v>0</v>
      </c>
      <c r="N35" s="54">
        <f>IFERROR(L35/K35,0)</f>
        <v>0</v>
      </c>
      <c r="O35" s="213">
        <f t="shared" si="16"/>
        <v>0</v>
      </c>
      <c r="P35" s="212">
        <f>Insp[[#Totals],[Column30]]</f>
        <v>0</v>
      </c>
      <c r="Q35" s="212">
        <f>Insp[[#Totals],[Column29]]</f>
        <v>0</v>
      </c>
      <c r="R35" s="53">
        <f>IFERROR(P35/O35,0)</f>
        <v>0</v>
      </c>
      <c r="S35" s="55">
        <f>Insp[[#Totals],[Column26]]</f>
        <v>0</v>
      </c>
    </row>
    <row r="36" spans="1:19">
      <c r="A36" s="222"/>
      <c r="C36" s="205"/>
      <c r="D36" s="1"/>
      <c r="E36" s="1"/>
      <c r="F36" s="206"/>
      <c r="G36" s="205"/>
      <c r="H36" s="1"/>
      <c r="I36" s="1"/>
      <c r="J36" s="206"/>
      <c r="K36" s="207"/>
      <c r="L36" s="1"/>
      <c r="M36" s="1"/>
      <c r="N36" s="206"/>
      <c r="O36" s="207"/>
      <c r="P36" s="1"/>
      <c r="Q36" s="1"/>
      <c r="R36" s="206"/>
      <c r="S36" s="208"/>
    </row>
    <row r="37" spans="1:19" collapsed="1">
      <c r="A37" s="223">
        <v>14</v>
      </c>
      <c r="B37" s="224" t="s">
        <v>22</v>
      </c>
      <c r="C37" s="210">
        <f t="shared" ref="C37" si="29">D37+E37</f>
        <v>0</v>
      </c>
      <c r="D37" s="209">
        <f>Proj[[#Totals],[Column11]]</f>
        <v>0</v>
      </c>
      <c r="E37" s="209">
        <f>Proj[[#Totals],[Column12]]</f>
        <v>0</v>
      </c>
      <c r="F37" s="53">
        <f>IFERROR(D37/C37,0)</f>
        <v>0</v>
      </c>
      <c r="G37" s="210">
        <f t="shared" ref="G37" si="30">H37+I37</f>
        <v>0</v>
      </c>
      <c r="H37" s="209">
        <f>Proj[[#Totals],[Column16]]</f>
        <v>0</v>
      </c>
      <c r="I37" s="209">
        <f>Proj[[#Totals],[Column17]]</f>
        <v>0</v>
      </c>
      <c r="J37" s="53">
        <f>IFERROR(H37/G37,0)</f>
        <v>0</v>
      </c>
      <c r="K37" s="211">
        <f t="shared" ref="K37" si="31">L37+M37</f>
        <v>0</v>
      </c>
      <c r="L37" s="212">
        <f>Proj[[#Totals],[Column20]]</f>
        <v>0</v>
      </c>
      <c r="M37" s="212">
        <f>Proj[[#Totals],[Column21]]</f>
        <v>0</v>
      </c>
      <c r="N37" s="54">
        <f>IFERROR(L37/K37,0)</f>
        <v>0</v>
      </c>
      <c r="O37" s="213">
        <f t="shared" si="16"/>
        <v>0</v>
      </c>
      <c r="P37" s="212">
        <f>Proj[[#Totals],[Column30]]</f>
        <v>0</v>
      </c>
      <c r="Q37" s="212">
        <f>Proj[[#Totals],[Column29]]</f>
        <v>0</v>
      </c>
      <c r="R37" s="53">
        <f>IFERROR(P37/O37,0)</f>
        <v>0</v>
      </c>
      <c r="S37" s="55">
        <f>Proj[[#Totals],[Column26]]</f>
        <v>0</v>
      </c>
    </row>
    <row r="38" spans="1:19">
      <c r="A38" s="222"/>
      <c r="C38" s="205"/>
      <c r="D38" s="1"/>
      <c r="E38" s="1"/>
      <c r="F38" s="206"/>
      <c r="G38" s="205"/>
      <c r="H38" s="1"/>
      <c r="I38" s="1"/>
      <c r="J38" s="206"/>
      <c r="K38" s="207"/>
      <c r="L38" s="1"/>
      <c r="M38" s="1"/>
      <c r="N38" s="206"/>
      <c r="O38" s="207"/>
      <c r="P38" s="1"/>
      <c r="Q38" s="1"/>
      <c r="R38" s="206"/>
      <c r="S38" s="208"/>
    </row>
    <row r="39" spans="1:19" collapsed="1">
      <c r="A39" s="223">
        <v>15</v>
      </c>
      <c r="B39" s="224" t="s">
        <v>10</v>
      </c>
      <c r="C39" s="210">
        <f t="shared" ref="C39" si="32">D39+E39</f>
        <v>0</v>
      </c>
      <c r="D39" s="209">
        <f>Surv[[#Totals],[Column16]]</f>
        <v>0</v>
      </c>
      <c r="E39" s="209">
        <f>Surv[[#Totals],[Column12]]</f>
        <v>0</v>
      </c>
      <c r="F39" s="53">
        <f>IFERROR(D39/C39,0)</f>
        <v>0</v>
      </c>
      <c r="G39" s="210">
        <f t="shared" ref="G39" si="33">H39+I39</f>
        <v>0</v>
      </c>
      <c r="H39" s="209">
        <f>Surv[[#Totals],[Column16]]</f>
        <v>0</v>
      </c>
      <c r="I39" s="209">
        <f>Surv[[#Totals],[Column17]]</f>
        <v>0</v>
      </c>
      <c r="J39" s="53">
        <f>IFERROR(H39/G39,0)</f>
        <v>0</v>
      </c>
      <c r="K39" s="211">
        <f t="shared" ref="K39" si="34">L39+M39</f>
        <v>0</v>
      </c>
      <c r="L39" s="212">
        <f>Surv[[#Totals],[Column20]]</f>
        <v>0</v>
      </c>
      <c r="M39" s="212">
        <f>Surv[[#Totals],[Column21]]</f>
        <v>0</v>
      </c>
      <c r="N39" s="54">
        <f>IFERROR(L39/K39,0)</f>
        <v>0</v>
      </c>
      <c r="O39" s="213">
        <f t="shared" si="16"/>
        <v>0</v>
      </c>
      <c r="P39" s="212">
        <f>Surv[[#Totals],[Column30]]</f>
        <v>0</v>
      </c>
      <c r="Q39" s="212">
        <f>Surv[[#Totals],[Column29]]</f>
        <v>0</v>
      </c>
      <c r="R39" s="53">
        <f>IFERROR(P39/O39,0)</f>
        <v>0</v>
      </c>
      <c r="S39" s="55">
        <f>Surv[[#Totals],[Column26]]</f>
        <v>0</v>
      </c>
    </row>
    <row r="40" spans="1:19">
      <c r="A40" s="222"/>
      <c r="C40" s="205"/>
      <c r="D40" s="1"/>
      <c r="E40" s="1"/>
      <c r="F40" s="206"/>
      <c r="G40" s="205"/>
      <c r="H40" s="1"/>
      <c r="I40" s="1"/>
      <c r="J40" s="206"/>
      <c r="K40" s="207"/>
      <c r="L40" s="1"/>
      <c r="M40" s="1"/>
      <c r="N40" s="206"/>
      <c r="O40" s="207"/>
      <c r="P40" s="1"/>
      <c r="Q40" s="1"/>
      <c r="R40" s="206"/>
      <c r="S40" s="208"/>
    </row>
    <row r="41" spans="1:19" collapsed="1">
      <c r="A41" s="223">
        <v>16</v>
      </c>
      <c r="B41" s="224" t="s">
        <v>23</v>
      </c>
      <c r="C41" s="210">
        <f t="shared" ref="C41:C43" si="35">D41+E41</f>
        <v>0</v>
      </c>
      <c r="D41" s="209">
        <f>Mod[[#Totals],[Column11]]</f>
        <v>0</v>
      </c>
      <c r="E41" s="209">
        <f>Mod[[#Totals],[Column12]]</f>
        <v>0</v>
      </c>
      <c r="F41" s="53">
        <f>IFERROR(D41/C41,0)</f>
        <v>0</v>
      </c>
      <c r="G41" s="210">
        <f t="shared" ref="G41" si="36">H41+I41</f>
        <v>0</v>
      </c>
      <c r="H41" s="209">
        <f>Mod[[#Totals],[Column16]]</f>
        <v>0</v>
      </c>
      <c r="I41" s="209">
        <f>Mod[[#Totals],[Column17]]</f>
        <v>0</v>
      </c>
      <c r="J41" s="53">
        <f>IFERROR(H41/G41,0)</f>
        <v>0</v>
      </c>
      <c r="K41" s="211">
        <f t="shared" ref="K41" si="37">L41+M41</f>
        <v>0</v>
      </c>
      <c r="L41" s="212">
        <f>Mod[[#Totals],[Column20]]</f>
        <v>0</v>
      </c>
      <c r="M41" s="212">
        <f>Mod[[#Totals],[Column21]]</f>
        <v>0</v>
      </c>
      <c r="N41" s="54">
        <f>IFERROR(L41/K41,0)</f>
        <v>0</v>
      </c>
      <c r="O41" s="213">
        <f t="shared" si="16"/>
        <v>0</v>
      </c>
      <c r="P41" s="212">
        <f>Mod[[#Totals],[Column30]]</f>
        <v>0</v>
      </c>
      <c r="Q41" s="212">
        <f>Mod[[#Totals],[Column29]]</f>
        <v>0</v>
      </c>
      <c r="R41" s="53">
        <f>IFERROR(P41/O41,0)</f>
        <v>0</v>
      </c>
      <c r="S41" s="55">
        <f>Mod[[#Totals],[Column26]]</f>
        <v>0</v>
      </c>
    </row>
    <row r="42" spans="1:19">
      <c r="A42" s="222"/>
      <c r="C42" s="205"/>
      <c r="D42" s="1"/>
      <c r="E42" s="1"/>
      <c r="F42" s="206"/>
      <c r="G42" s="205"/>
      <c r="H42" s="1"/>
      <c r="I42" s="1"/>
      <c r="J42" s="206"/>
      <c r="K42" s="207"/>
      <c r="L42" s="1"/>
      <c r="M42" s="1"/>
      <c r="N42" s="206"/>
      <c r="O42" s="207"/>
      <c r="P42" s="1"/>
      <c r="Q42" s="1"/>
      <c r="R42" s="206"/>
      <c r="S42" s="208"/>
    </row>
    <row r="43" spans="1:19" collapsed="1">
      <c r="A43" s="223">
        <v>17</v>
      </c>
      <c r="B43" s="224" t="s">
        <v>24</v>
      </c>
      <c r="C43" s="210">
        <f t="shared" si="35"/>
        <v>0</v>
      </c>
      <c r="D43" s="209">
        <f>Ship[[#Totals],[Column11]]</f>
        <v>0</v>
      </c>
      <c r="E43" s="209">
        <f>Ship[[#Totals],[Column12]]</f>
        <v>0</v>
      </c>
      <c r="F43" s="53">
        <f>IFERROR(D43/C43,0)</f>
        <v>0</v>
      </c>
      <c r="G43" s="210">
        <f t="shared" ref="G43" si="38">H43+I43</f>
        <v>0</v>
      </c>
      <c r="H43" s="209">
        <f>Ship[[#Totals],[Column16]]</f>
        <v>0</v>
      </c>
      <c r="I43" s="209">
        <f>Ship[[#Totals],[Column17]]</f>
        <v>0</v>
      </c>
      <c r="J43" s="53">
        <f>IFERROR(H43/G43,0)</f>
        <v>0</v>
      </c>
      <c r="K43" s="211">
        <f t="shared" ref="K43" si="39">L43+M43</f>
        <v>0</v>
      </c>
      <c r="L43" s="212">
        <f>Ship[[#Totals],[Column20]]</f>
        <v>0</v>
      </c>
      <c r="M43" s="212">
        <f>Ship[[#Totals],[Column21]]</f>
        <v>0</v>
      </c>
      <c r="N43" s="54">
        <f>IFERROR(L43/K43,0)</f>
        <v>0</v>
      </c>
      <c r="O43" s="213">
        <f t="shared" ref="O43:O45" si="40">P43+Q43</f>
        <v>0</v>
      </c>
      <c r="P43" s="212">
        <f>Ship[[#Totals],[Column30]]</f>
        <v>0</v>
      </c>
      <c r="Q43" s="212">
        <f>Ship[[#Totals],[Column29]]</f>
        <v>0</v>
      </c>
      <c r="R43" s="53">
        <f>IFERROR(P43/O43,0)</f>
        <v>0</v>
      </c>
      <c r="S43" s="55">
        <f>Ship[[#Totals],[Column26]]</f>
        <v>0</v>
      </c>
    </row>
    <row r="44" spans="1:19">
      <c r="A44" s="222"/>
      <c r="C44" s="205"/>
      <c r="D44" s="1"/>
      <c r="E44" s="1"/>
      <c r="F44" s="206"/>
      <c r="G44" s="205"/>
      <c r="H44" s="1"/>
      <c r="I44" s="1"/>
      <c r="J44" s="206"/>
      <c r="K44" s="207"/>
      <c r="L44" s="1"/>
      <c r="M44" s="1"/>
      <c r="N44" s="206"/>
      <c r="O44" s="207"/>
      <c r="P44" s="1"/>
      <c r="Q44" s="1"/>
      <c r="R44" s="206"/>
      <c r="S44" s="208"/>
    </row>
    <row r="45" spans="1:19" collapsed="1">
      <c r="A45" s="223">
        <v>18</v>
      </c>
      <c r="B45" s="225" t="s">
        <v>110</v>
      </c>
      <c r="C45" s="210">
        <f t="shared" ref="C45" si="41">D45+E45</f>
        <v>0</v>
      </c>
      <c r="D45" s="209">
        <f>Others[[#Totals],[Column11]]</f>
        <v>0</v>
      </c>
      <c r="E45" s="209">
        <f>Others[[#Totals],[Column12]]</f>
        <v>0</v>
      </c>
      <c r="F45" s="53">
        <f>IFERROR(D45/C45,0)</f>
        <v>0</v>
      </c>
      <c r="G45" s="210">
        <f t="shared" ref="G45" si="42">H45+I45</f>
        <v>0</v>
      </c>
      <c r="H45" s="209">
        <f>Others[[#Totals],[Column16]]</f>
        <v>0</v>
      </c>
      <c r="I45" s="209">
        <f>Others[[#Totals],[Column17]]</f>
        <v>0</v>
      </c>
      <c r="J45" s="53">
        <f>IFERROR(H45/G45,0)</f>
        <v>0</v>
      </c>
      <c r="K45" s="211">
        <f t="shared" ref="K45" si="43">L45+M45</f>
        <v>0</v>
      </c>
      <c r="L45" s="212">
        <f>Others[[#Totals],[Column20]]</f>
        <v>0</v>
      </c>
      <c r="M45" s="212">
        <f>Others[[#Totals],[Column21]]</f>
        <v>0</v>
      </c>
      <c r="N45" s="54">
        <f>IFERROR(L45/K45,0)</f>
        <v>0</v>
      </c>
      <c r="O45" s="213">
        <f t="shared" si="40"/>
        <v>0</v>
      </c>
      <c r="P45" s="212">
        <f>Others[[#Totals],[Column30]]</f>
        <v>0</v>
      </c>
      <c r="Q45" s="212">
        <f>Others[[#Totals],[Column29]]</f>
        <v>0</v>
      </c>
      <c r="R45" s="53">
        <f>IFERROR(P45/O45,0)</f>
        <v>0</v>
      </c>
      <c r="S45" s="55">
        <f>Others[[#Totals],[Column26]]</f>
        <v>0</v>
      </c>
    </row>
    <row r="46" spans="1:19">
      <c r="A46" s="222"/>
      <c r="C46" s="205"/>
      <c r="D46" s="1"/>
      <c r="E46" s="1"/>
      <c r="F46" s="206"/>
      <c r="G46" s="205"/>
      <c r="H46" s="1"/>
      <c r="I46" s="1"/>
      <c r="J46" s="206"/>
      <c r="K46" s="207"/>
      <c r="L46" s="1"/>
      <c r="M46" s="1"/>
      <c r="N46" s="206"/>
      <c r="O46" s="207"/>
      <c r="P46" s="1"/>
      <c r="Q46" s="1"/>
      <c r="R46" s="206"/>
      <c r="S46" s="208"/>
    </row>
    <row r="47" spans="1:19" ht="31.5" customHeight="1" thickBot="1">
      <c r="A47" s="296"/>
      <c r="B47" s="297"/>
      <c r="C47" s="214">
        <f>D47+E47</f>
        <v>0</v>
      </c>
      <c r="D47" s="215">
        <f>D11+D13+D15+D17+D19+D21+D23+D25+D27+D29+D31+D33+D35+D37+D39+D41+D43+D45</f>
        <v>0</v>
      </c>
      <c r="E47" s="215">
        <f>E11+E13+E15+E17+E19+E21+E23+E25+E27+E29+E31+E33+E35+E37+E39+E41+E43+E45</f>
        <v>0</v>
      </c>
      <c r="F47" s="46">
        <f>IFERROR(D47/C47,0)</f>
        <v>0</v>
      </c>
      <c r="G47" s="214">
        <f>H47+I47</f>
        <v>0</v>
      </c>
      <c r="H47" s="215">
        <f>H11+H13+H15+H17+H19+H21+H23+H25+H27+H29+H31+H33+H35+H37+H39+H41+H43+H45</f>
        <v>0</v>
      </c>
      <c r="I47" s="215">
        <f>I11+I13+I15+I17+I19+I21+I23+I25+I27+I29+I31+I33+I35+I37+I39+I41+I43+I45</f>
        <v>0</v>
      </c>
      <c r="J47" s="46">
        <f>IFERROR(H47/G47,0)</f>
        <v>0</v>
      </c>
      <c r="K47" s="216">
        <f>L47+M47</f>
        <v>0</v>
      </c>
      <c r="L47" s="217">
        <f>L11+L13+L15+L17+L19+L21+L23+L25+L27+L29+L31+L33+L35+L37+L39+L41+L43+L45</f>
        <v>0</v>
      </c>
      <c r="M47" s="217">
        <f>M11+M13+M15+M17+M19+M21+M23+M25+M27+M29+M31+M33+M35+M37+M39+M41+M43+M45</f>
        <v>0</v>
      </c>
      <c r="N47" s="47">
        <f>IFERROR(L47/K47,0)</f>
        <v>0</v>
      </c>
      <c r="O47" s="218">
        <f>P47+Q47</f>
        <v>0</v>
      </c>
      <c r="P47" s="217">
        <f>P11+P13+P15+P17+P19+P21+P23+P25+P27+P29+P31+P33+P35+P37+P39+P41+P43+P45</f>
        <v>0</v>
      </c>
      <c r="Q47" s="217">
        <f>Q11+Q13+Q15+Q17+Q19+Q21+Q23+Q25+Q27+Q29+Q31+Q33+Q35+Q37+Q39+Q41+Q43+Q45</f>
        <v>0</v>
      </c>
      <c r="R47" s="46" t="e">
        <f>P47/O47</f>
        <v>#DIV/0!</v>
      </c>
      <c r="S47" s="48">
        <f>IFERROR(O47/K47,0)</f>
        <v>0</v>
      </c>
    </row>
  </sheetData>
  <sheetProtection algorithmName="SHA-512" hashValue="F0xO8LooGhEXSDv5cnqF7seti3wv+VLm4UkZW+FAUaqHN5AhHUk8mi7YHaZpgD2qiVkBrsHDgcI/6Lko0ssM+A==" saltValue="h4HNdz3pT6djJ3qD7+CNnQ==" spinCount="100000" sheet="1" objects="1" scenarios="1" formatCells="0"/>
  <dataConsolidate link="1">
    <dataRefs count="3">
      <dataRef ref="L13:AB13" sheet="#1"/>
      <dataRef ref="L13:AB13" sheet="#2"/>
      <dataRef ref="L13:AB13" sheet="#3"/>
    </dataRefs>
  </dataConsolidate>
  <mergeCells count="9">
    <mergeCell ref="O8:S8"/>
    <mergeCell ref="C9:F9"/>
    <mergeCell ref="G9:J9"/>
    <mergeCell ref="O9:S9"/>
    <mergeCell ref="A47:B47"/>
    <mergeCell ref="A8:N8"/>
    <mergeCell ref="A9:A10"/>
    <mergeCell ref="B9:B10"/>
    <mergeCell ref="K9:N9"/>
  </mergeCells>
  <hyperlinks>
    <hyperlink ref="B11" location="'#1'!A1" display="Feed And Detailed Engineering And Other Engineering Services" xr:uid="{7E78B4F7-C696-40FB-ADA5-775356EAF001}"/>
    <hyperlink ref="B13" location="'#2'!A1" display="Fabrication And Construction" xr:uid="{95C836EA-6849-4AD9-B33E-1D8887D7BD25}"/>
    <hyperlink ref="B15" location="'#3'!A1" display="Materials And Procurement" xr:uid="{DF0D3775-F270-4048-922A-E60F278043CE}"/>
    <hyperlink ref="B17" location="'#4'!A1" display="Well &amp; Drilling Services / Petroleum Technology" xr:uid="{4ACB7264-1849-4D9C-BBD1-678EC3FE51AB}"/>
    <hyperlink ref="B19" location="'#5'!A1" display="Research And Development" xr:uid="{A3EB61C6-057A-467F-9B4D-5277DD236802}"/>
    <hyperlink ref="B21" location="'#6'!A1" display="Exploration, Subsurface, Petroleum Engineering &amp; Seismic" xr:uid="{0EDAC632-C245-45DB-B3C7-E8A023F29207}"/>
    <hyperlink ref="B23" location="'#7'!A1" display="Transportation / Supply / Disposal Services" xr:uid="{FAEDF4FA-3802-4067-BC41-38476829DF34}"/>
    <hyperlink ref="B25" location="'#8'!A1" display="Health, Safety &amp; Environment" xr:uid="{6C567C5E-F856-4880-BCAA-D86837BFB8B1}"/>
    <hyperlink ref="B27" location="'#9'!A1" display="Information Systems / Information Technology / Communication Services" xr:uid="{90B89EA9-D657-4A9A-9561-F0DE4CAE89E4}"/>
    <hyperlink ref="B29" location="'#10'!A1" display="Marine, Operations &amp; Logistics Services" xr:uid="{4FC89680-FE19-45A6-A5FC-AD314CC9A0BE}"/>
    <hyperlink ref="B31" location="'#11'!A1" display="Finance &amp; Insurance" xr:uid="{FF764984-7AD4-4793-8B5B-5A39811F5352}"/>
    <hyperlink ref="B33" location="'#12'!A1" display="Installation, Hookup &amp; Commissioning" xr:uid="{DF5CBDF0-D4F2-4105-B61A-A335C5483B60}"/>
    <hyperlink ref="B35" location="'#13'!A1" display="Inspection, Testing &amp; Certification" xr:uid="{B5D0B1C0-63D1-4C8C-AFA6-B47BDB0703A0}"/>
    <hyperlink ref="B37" location="'#14'!A1" display="Project Management / Consulting Services" xr:uid="{53D87941-CF53-419D-8177-FA137585B2BC}"/>
    <hyperlink ref="B39" location="'#15'!A1" display="Surveying / Positioning Services" xr:uid="{3AEA83A7-A627-4B09-9417-D6A0C242EC96}"/>
    <hyperlink ref="B41" location="'#16'!A1" display="Modification &amp; Maintenance" xr:uid="{EE644C41-4304-4AB7-A363-731EDE293219}"/>
    <hyperlink ref="B43" location="'#17'!A1" display="Shipping" xr:uid="{24F90870-737A-43A5-81CF-F3C80B28ED8B}"/>
    <hyperlink ref="B45" location="'#18'!A1" display="Others (e.g HCD Training, CDI etc)" xr:uid="{5976D12D-EFD4-4000-9CD5-191B22917620}"/>
  </hyperlink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1"/>
  <sheetViews>
    <sheetView view="pageBreakPreview" zoomScale="63" zoomScaleNormal="60" workbookViewId="0">
      <selection activeCell="A10" sqref="A10:XFD10"/>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23.6328125" style="2" customWidth="1"/>
    <col min="8" max="8" width="18.90625" style="2" customWidth="1"/>
    <col min="9" max="9" width="11.1796875" style="2" customWidth="1"/>
    <col min="10" max="11" width="14.81640625" style="2" customWidth="1"/>
    <col min="12" max="12" width="10.6328125" style="2" customWidth="1"/>
    <col min="13" max="13" width="12.81640625" style="2" customWidth="1"/>
    <col min="14" max="15" width="14.81640625" style="2" customWidth="1"/>
    <col min="16" max="16" width="11.90625" style="2" customWidth="1"/>
    <col min="17" max="18" width="15.1796875" style="2" customWidth="1"/>
    <col min="19" max="19" width="18.453125" style="2" customWidth="1"/>
    <col min="20" max="20" width="11.7265625" style="2" customWidth="1"/>
    <col min="21" max="21" width="16.26953125" style="2" customWidth="1"/>
    <col min="22" max="23" width="21" style="2" customWidth="1"/>
    <col min="24" max="24" width="13.36328125" style="2" customWidth="1"/>
    <col min="25" max="25" width="14.81640625" style="2" customWidth="1"/>
    <col min="26" max="26" width="33.54296875" style="2" customWidth="1"/>
    <col min="27" max="16384" width="8.7265625" style="21"/>
  </cols>
  <sheetData>
    <row r="1" spans="1:26">
      <c r="W1" s="21"/>
      <c r="X1" s="21"/>
      <c r="Y1" s="21"/>
      <c r="Z1" s="21"/>
    </row>
    <row r="2" spans="1:26">
      <c r="B2" s="24"/>
      <c r="W2" s="21"/>
      <c r="X2" s="21"/>
      <c r="Y2" s="21"/>
      <c r="Z2" s="21"/>
    </row>
    <row r="3" spans="1:26">
      <c r="B3" s="24"/>
      <c r="W3" s="21"/>
      <c r="X3" s="21"/>
      <c r="Y3" s="21"/>
      <c r="Z3" s="21"/>
    </row>
    <row r="4" spans="1:26" hidden="1">
      <c r="B4" s="26"/>
      <c r="W4" s="21"/>
      <c r="X4" s="21"/>
      <c r="Y4" s="21"/>
      <c r="Z4" s="21"/>
    </row>
    <row r="5" spans="1:26" hidden="1"/>
    <row r="6" spans="1:26" s="2" customFormat="1" ht="83.5" customHeight="1" thickBot="1">
      <c r="A6" s="310" t="s">
        <v>13</v>
      </c>
      <c r="B6" s="311"/>
      <c r="C6" s="311"/>
      <c r="D6" s="311"/>
      <c r="E6" s="311"/>
      <c r="F6" s="311"/>
      <c r="G6" s="311"/>
      <c r="H6" s="311"/>
      <c r="I6" s="311"/>
      <c r="J6" s="311"/>
      <c r="K6" s="311"/>
      <c r="L6" s="311"/>
      <c r="M6" s="311"/>
      <c r="N6" s="311"/>
      <c r="O6" s="311"/>
      <c r="P6" s="311"/>
      <c r="Q6" s="312"/>
      <c r="R6" s="312"/>
      <c r="S6" s="312"/>
      <c r="T6" s="312"/>
      <c r="U6" s="312"/>
      <c r="V6" s="312"/>
      <c r="W6" s="312"/>
      <c r="X6" s="312"/>
      <c r="Y6" s="312"/>
      <c r="Z6" s="312"/>
    </row>
    <row r="7" spans="1:26" s="2" customFormat="1" ht="83.5" customHeight="1">
      <c r="A7" s="285" t="s">
        <v>6</v>
      </c>
      <c r="B7" s="287" t="s">
        <v>85</v>
      </c>
      <c r="C7" s="283" t="s">
        <v>58</v>
      </c>
      <c r="D7" s="280" t="s">
        <v>7</v>
      </c>
      <c r="E7" s="281"/>
      <c r="F7" s="282"/>
      <c r="G7" s="292" t="s">
        <v>60</v>
      </c>
      <c r="H7" s="294" t="s">
        <v>66</v>
      </c>
      <c r="I7" s="280" t="s">
        <v>62</v>
      </c>
      <c r="J7" s="281"/>
      <c r="K7" s="281"/>
      <c r="L7" s="282"/>
      <c r="M7" s="280" t="s">
        <v>69</v>
      </c>
      <c r="N7" s="281"/>
      <c r="O7" s="281"/>
      <c r="P7" s="282"/>
      <c r="Q7" s="289" t="s">
        <v>64</v>
      </c>
      <c r="R7" s="290"/>
      <c r="S7" s="290"/>
      <c r="T7" s="291"/>
      <c r="U7" s="277" t="s">
        <v>86</v>
      </c>
      <c r="V7" s="278"/>
      <c r="W7" s="278"/>
      <c r="X7" s="278"/>
      <c r="Y7" s="278"/>
      <c r="Z7" s="279"/>
    </row>
    <row r="8" spans="1:26" s="2" customFormat="1" ht="83.5" customHeight="1" thickBot="1">
      <c r="A8" s="286"/>
      <c r="B8" s="288"/>
      <c r="C8" s="284"/>
      <c r="D8" s="27" t="s">
        <v>57</v>
      </c>
      <c r="E8" s="28" t="s">
        <v>87</v>
      </c>
      <c r="F8" s="29" t="s">
        <v>88</v>
      </c>
      <c r="G8" s="293"/>
      <c r="H8" s="295"/>
      <c r="I8" s="196" t="s">
        <v>0</v>
      </c>
      <c r="J8" s="63" t="s">
        <v>89</v>
      </c>
      <c r="K8" s="63" t="s">
        <v>94</v>
      </c>
      <c r="L8" s="198" t="s">
        <v>12</v>
      </c>
      <c r="M8" s="196" t="s">
        <v>0</v>
      </c>
      <c r="N8" s="63" t="s">
        <v>89</v>
      </c>
      <c r="O8" s="63" t="s">
        <v>94</v>
      </c>
      <c r="P8" s="198" t="s">
        <v>12</v>
      </c>
      <c r="Q8" s="196" t="s">
        <v>61</v>
      </c>
      <c r="R8" s="63" t="s">
        <v>92</v>
      </c>
      <c r="S8" s="63" t="s">
        <v>99</v>
      </c>
      <c r="T8" s="198" t="s">
        <v>12</v>
      </c>
      <c r="U8" s="196" t="s">
        <v>61</v>
      </c>
      <c r="V8" s="64" t="s">
        <v>90</v>
      </c>
      <c r="W8" s="28" t="s">
        <v>96</v>
      </c>
      <c r="X8" s="197" t="s">
        <v>65</v>
      </c>
      <c r="Y8" s="197" t="s">
        <v>35</v>
      </c>
      <c r="Z8" s="61" t="s">
        <v>8</v>
      </c>
    </row>
    <row r="9" spans="1:26" ht="83.5" customHeight="1">
      <c r="A9" s="6">
        <v>1</v>
      </c>
      <c r="B9" s="14"/>
      <c r="C9" s="11" t="s">
        <v>118</v>
      </c>
      <c r="D9" s="11"/>
      <c r="E9" s="11"/>
      <c r="F9" s="6"/>
      <c r="G9" s="10"/>
      <c r="H9" s="10"/>
      <c r="I9" s="226">
        <f>Eng[[#This Row],[Column11]]+Eng[[#This Row],[Column12]]</f>
        <v>0</v>
      </c>
      <c r="J9" s="59">
        <v>0</v>
      </c>
      <c r="K9" s="59">
        <v>0</v>
      </c>
      <c r="L9" s="228">
        <f>IFERROR(J9/I9,0)</f>
        <v>0</v>
      </c>
      <c r="M9" s="226">
        <f>Eng[[#This Row],[Column16]]+Eng[[#This Row],[Column17]]</f>
        <v>0</v>
      </c>
      <c r="N9" s="59">
        <v>0</v>
      </c>
      <c r="O9" s="59">
        <v>0</v>
      </c>
      <c r="P9" s="228">
        <f>IFERROR(N9/M9,0)</f>
        <v>0</v>
      </c>
      <c r="Q9" s="231">
        <f>Eng[[#This Row],[Column20]]+Eng[[#This Row],[Column21]]</f>
        <v>0</v>
      </c>
      <c r="R9" s="71">
        <v>0</v>
      </c>
      <c r="S9" s="71">
        <v>0</v>
      </c>
      <c r="T9" s="49">
        <f>IFERROR(R9/Q9,0)</f>
        <v>0</v>
      </c>
      <c r="U9" s="234">
        <f>Eng[[#This Row],[Column30]]+Eng[[#This Row],[Column29]]</f>
        <v>0</v>
      </c>
      <c r="V9" s="71">
        <v>0</v>
      </c>
      <c r="W9" s="71">
        <v>0</v>
      </c>
      <c r="X9" s="49">
        <f>IFERROR(Eng[[#This Row],[Column30]]/Eng[[#This Row],[Column24]],0)</f>
        <v>0</v>
      </c>
      <c r="Y9" s="237">
        <f>IFERROR(Eng[[#This Row],[Column24]]/Eng[[#This Row],[Column19]],0)</f>
        <v>0</v>
      </c>
      <c r="Z9" s="58"/>
    </row>
    <row r="10" spans="1:26" ht="83.5" customHeight="1">
      <c r="A10" s="6">
        <v>2</v>
      </c>
      <c r="B10" s="14"/>
      <c r="C10" s="11" t="s">
        <v>118</v>
      </c>
      <c r="D10" s="11"/>
      <c r="E10" s="11"/>
      <c r="F10" s="6"/>
      <c r="G10" s="10"/>
      <c r="H10" s="10"/>
      <c r="I10" s="227">
        <f>Eng[[#This Row],[Column11]]+Eng[[#This Row],[Column12]]</f>
        <v>0</v>
      </c>
      <c r="J10" s="59">
        <v>0</v>
      </c>
      <c r="K10" s="59">
        <v>0</v>
      </c>
      <c r="L10" s="229">
        <f t="shared" ref="L10" si="0">IFERROR(J10/I10,0)</f>
        <v>0</v>
      </c>
      <c r="M10" s="227">
        <f>Eng[[#This Row],[Column16]]+Eng[[#This Row],[Column17]]</f>
        <v>0</v>
      </c>
      <c r="N10" s="59">
        <v>0</v>
      </c>
      <c r="O10" s="59">
        <v>0</v>
      </c>
      <c r="P10" s="229">
        <f>IFERROR(#REF!/#REF!,0)</f>
        <v>0</v>
      </c>
      <c r="Q10" s="232">
        <f>Eng[[#This Row],[Column20]]+Eng[[#This Row],[Column21]]</f>
        <v>0</v>
      </c>
      <c r="R10" s="71">
        <v>0</v>
      </c>
      <c r="S10" s="71">
        <v>0</v>
      </c>
      <c r="T10" s="53">
        <f t="shared" ref="T10" si="1">IFERROR(R10/Q10,0)</f>
        <v>0</v>
      </c>
      <c r="U10" s="235">
        <f>Eng[[#This Row],[Column30]]+Eng[[#This Row],[Column29]]</f>
        <v>0</v>
      </c>
      <c r="V10" s="71">
        <v>0</v>
      </c>
      <c r="W10" s="71">
        <v>0</v>
      </c>
      <c r="X10" s="53">
        <f>IFERROR(Eng[[#This Row],[Column30]]/Eng[[#This Row],[Column24]],0)</f>
        <v>0</v>
      </c>
      <c r="Y10" s="238">
        <f t="shared" ref="Y10:Y12" si="2">IFERROR(W10/V10,0)</f>
        <v>0</v>
      </c>
      <c r="Z10" s="35"/>
    </row>
    <row r="11" spans="1:26" ht="83.5" customHeight="1">
      <c r="A11" s="6">
        <v>3</v>
      </c>
      <c r="B11" s="14"/>
      <c r="C11" s="11" t="s">
        <v>118</v>
      </c>
      <c r="D11" s="6"/>
      <c r="E11" s="11"/>
      <c r="F11" s="11"/>
      <c r="G11" s="36"/>
      <c r="H11" s="36"/>
      <c r="I11" s="227">
        <f>Eng[[#This Row],[Column11]]+Eng[[#This Row],[Column12]]</f>
        <v>0</v>
      </c>
      <c r="J11" s="59">
        <v>0</v>
      </c>
      <c r="K11" s="59">
        <v>0</v>
      </c>
      <c r="L11" s="229">
        <f>IFERROR(J11/I11,0)</f>
        <v>0</v>
      </c>
      <c r="M11" s="230">
        <f>Eng[[#This Row],[Column16]]+Eng[[#This Row],[Column17]]</f>
        <v>0</v>
      </c>
      <c r="N11" s="59">
        <v>0</v>
      </c>
      <c r="O11" s="59">
        <v>0</v>
      </c>
      <c r="P11" s="229">
        <f>IFERROR(N13/M13,0)</f>
        <v>0</v>
      </c>
      <c r="Q11" s="233">
        <f>Eng[[#This Row],[Column20]]+Eng[[#This Row],[Column21]]</f>
        <v>0</v>
      </c>
      <c r="R11" s="71">
        <v>0</v>
      </c>
      <c r="S11" s="71">
        <v>0</v>
      </c>
      <c r="T11" s="53">
        <f>IFERROR(R11/Q11,0)</f>
        <v>0</v>
      </c>
      <c r="U11" s="236">
        <f>Eng[[#This Row],[Column30]]+Eng[[#This Row],[Column29]]</f>
        <v>0</v>
      </c>
      <c r="V11" s="71">
        <v>0</v>
      </c>
      <c r="W11" s="71">
        <v>0</v>
      </c>
      <c r="X11" s="53">
        <f>IFERROR(Eng[[#This Row],[Column30]]/Eng[[#This Row],[Column24]],0)</f>
        <v>0</v>
      </c>
      <c r="Y11" s="239">
        <f t="shared" si="2"/>
        <v>0</v>
      </c>
      <c r="Z11" s="37"/>
    </row>
    <row r="12" spans="1:26" s="102" customFormat="1" ht="83.5" customHeight="1" thickBot="1">
      <c r="A12" s="6">
        <v>4</v>
      </c>
      <c r="B12" s="14"/>
      <c r="C12" s="11" t="s">
        <v>118</v>
      </c>
      <c r="D12" s="6"/>
      <c r="E12" s="11"/>
      <c r="F12" s="11"/>
      <c r="G12" s="36"/>
      <c r="H12" s="36"/>
      <c r="I12" s="227">
        <f>Eng[[#This Row],[Column11]]+Eng[[#This Row],[Column12]]</f>
        <v>0</v>
      </c>
      <c r="J12" s="19">
        <v>0</v>
      </c>
      <c r="K12" s="19">
        <v>0</v>
      </c>
      <c r="L12" s="229">
        <f>IFERROR(J12/I12,0)</f>
        <v>0</v>
      </c>
      <c r="M12" s="230">
        <f>Eng[[#This Row],[Column16]]+Eng[[#This Row],[Column17]]</f>
        <v>0</v>
      </c>
      <c r="N12" s="59">
        <v>0</v>
      </c>
      <c r="O12" s="59">
        <v>0</v>
      </c>
      <c r="P12" s="229">
        <f>IFERROR(N13/M13,0)</f>
        <v>0</v>
      </c>
      <c r="Q12" s="233">
        <f>Eng[[#This Row],[Column20]]+Eng[[#This Row],[Column21]]</f>
        <v>0</v>
      </c>
      <c r="R12" s="71">
        <v>0</v>
      </c>
      <c r="S12" s="71">
        <v>0</v>
      </c>
      <c r="T12" s="53">
        <f>IFERROR(R12/Q12,0)</f>
        <v>0</v>
      </c>
      <c r="U12" s="236">
        <f>Eng[[#This Row],[Column30]]+Eng[[#This Row],[Column29]]</f>
        <v>0</v>
      </c>
      <c r="V12" s="71">
        <v>0</v>
      </c>
      <c r="W12" s="71">
        <v>0</v>
      </c>
      <c r="X12" s="53">
        <f>IFERROR(Eng[[#This Row],[Column30]]/Eng[[#This Row],[Column24]],0)</f>
        <v>0</v>
      </c>
      <c r="Y12" s="239">
        <f t="shared" si="2"/>
        <v>0</v>
      </c>
      <c r="Z12" s="37"/>
    </row>
    <row r="13" spans="1:26" ht="28" thickBot="1">
      <c r="A13" s="20"/>
      <c r="B13" s="81"/>
      <c r="C13" s="82"/>
      <c r="D13" s="83" t="s">
        <v>59</v>
      </c>
      <c r="E13" s="84"/>
      <c r="F13" s="85"/>
      <c r="G13" s="87"/>
      <c r="H13" s="88"/>
      <c r="I13" s="91">
        <f>SUBTOTAL(109,Eng[Column10])</f>
        <v>0</v>
      </c>
      <c r="J13" s="92">
        <f>SUBTOTAL(109,Eng[Column11])</f>
        <v>0</v>
      </c>
      <c r="K13" s="92">
        <f>SUBTOTAL(109,Eng[Column12])</f>
        <v>0</v>
      </c>
      <c r="L13" s="103">
        <f>IFERROR(Eng[[#Totals],[Column11]]/Eng[[#Totals],[Column10]],0)</f>
        <v>0</v>
      </c>
      <c r="M13" s="91">
        <f>SUBTOTAL(109,Eng[Column15])</f>
        <v>0</v>
      </c>
      <c r="N13" s="89">
        <f>SUBTOTAL(109,Eng[Column16])</f>
        <v>0</v>
      </c>
      <c r="O13" s="89">
        <f>SUBTOTAL(109,Eng[Column17])</f>
        <v>0</v>
      </c>
      <c r="P13" s="103">
        <f>IFERROR(Eng[[#Totals],[Column16]]/Eng[[#Totals],[Column15]],0)</f>
        <v>0</v>
      </c>
      <c r="Q13" s="94">
        <f>SUBTOTAL(109,Eng[Column19])</f>
        <v>0</v>
      </c>
      <c r="R13" s="95">
        <f>SUBTOTAL(109,Eng[Column20])</f>
        <v>0</v>
      </c>
      <c r="S13" s="95">
        <f>SUBTOTAL(109,Eng[Column21])</f>
        <v>0</v>
      </c>
      <c r="T13" s="105">
        <f>IFERROR(Eng[[#Totals],[Column20]]/Eng[[#Totals],[Column19]],0)</f>
        <v>0</v>
      </c>
      <c r="U13" s="97">
        <f>SUBTOTAL(109,Eng[Column24])</f>
        <v>0</v>
      </c>
      <c r="V13" s="98">
        <f>SUBTOTAL(109,Eng[Column30])</f>
        <v>0</v>
      </c>
      <c r="W13" s="95">
        <f>SUBTOTAL(109,Eng[Column29])</f>
        <v>0</v>
      </c>
      <c r="X13" s="108">
        <f>IFERROR(Eng[[#Totals],[Column30]]/Eng[[#Totals],[Column24]],0)</f>
        <v>0</v>
      </c>
      <c r="Y13" s="100">
        <f>IFERROR(Eng[[#Totals],[Column24]]/Eng[[#Totals],[Column19]],0)</f>
        <v>0</v>
      </c>
      <c r="Z13" s="101"/>
    </row>
    <row r="14" spans="1:26">
      <c r="A14" s="5" t="s">
        <v>82</v>
      </c>
    </row>
    <row r="21" spans="17:17">
      <c r="Q21" s="38"/>
    </row>
  </sheetData>
  <sheetProtection formatCells="0" formatColumns="0" formatRows="0" insertRows="0" deleteRows="0"/>
  <mergeCells count="11">
    <mergeCell ref="A7:A8"/>
    <mergeCell ref="A6:Z6"/>
    <mergeCell ref="U7:Z7"/>
    <mergeCell ref="M7:P7"/>
    <mergeCell ref="C7:C8"/>
    <mergeCell ref="G7:G8"/>
    <mergeCell ref="H7:H8"/>
    <mergeCell ref="I7:L7"/>
    <mergeCell ref="D7:F7"/>
    <mergeCell ref="Q7:T7"/>
    <mergeCell ref="B7:B8"/>
  </mergeCells>
  <dataValidations count="1">
    <dataValidation allowBlank="1" showInputMessage="1" showErrorMessage="1" prompt="Please fill in the cell with text" sqref="C12:F12 C10:F10 E11 C11 C9 B9:B12" xr:uid="{13FEBFA8-F680-43D1-8A8B-919A13C045B2}"/>
  </dataValidations>
  <printOptions headings="1"/>
  <pageMargins left="0.70866141732283472" right="0.70866141732283472" top="0.74803149606299213" bottom="0.74803149606299213" header="0.31496062992125984" footer="0.31496062992125984"/>
  <pageSetup paperSize="9" orientation="portrait" verticalDpi="4294967295" r:id="rId1"/>
  <colBreaks count="1" manualBreakCount="1">
    <brk id="16" max="14" man="1"/>
  </col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04244-839E-4E3F-96FF-645BD7702DDF}">
  <dimension ref="A1:Z14"/>
  <sheetViews>
    <sheetView view="pageBreakPreview" zoomScale="48" zoomScaleNormal="52" zoomScaleSheetLayoutView="48" workbookViewId="0">
      <selection activeCell="O9" sqref="O9"/>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17.453125" style="2" customWidth="1"/>
    <col min="8" max="8" width="19" style="2" customWidth="1"/>
    <col min="9" max="9" width="13.08984375" style="2" customWidth="1"/>
    <col min="10" max="10" width="14.81640625" style="2" customWidth="1"/>
    <col min="11" max="11" width="13.26953125" style="2" customWidth="1"/>
    <col min="12" max="12" width="10.453125" style="2" customWidth="1"/>
    <col min="13" max="13" width="15.90625" style="2" customWidth="1"/>
    <col min="14" max="14" width="14.453125" style="2" customWidth="1"/>
    <col min="15" max="15" width="14.81640625" style="2" customWidth="1"/>
    <col min="16" max="16" width="10.81640625" style="2" customWidth="1"/>
    <col min="17" max="17" width="15.1796875" style="2" customWidth="1"/>
    <col min="18" max="18" width="16.36328125" style="2" customWidth="1"/>
    <col min="19" max="19" width="18.36328125" style="2" customWidth="1"/>
    <col min="20" max="20" width="11" style="2" customWidth="1"/>
    <col min="21" max="21" width="17" style="2" customWidth="1"/>
    <col min="22" max="22" width="17.81640625" style="2" customWidth="1"/>
    <col min="23" max="23" width="21" style="2" customWidth="1"/>
    <col min="24" max="24" width="10.7265625" style="2" customWidth="1"/>
    <col min="25" max="25" width="14.81640625" style="2" customWidth="1"/>
    <col min="26" max="26" width="29.36328125" style="2" customWidth="1"/>
    <col min="27" max="16384" width="8.7265625" style="21"/>
  </cols>
  <sheetData>
    <row r="1" spans="1:26">
      <c r="U1" s="21"/>
      <c r="V1" s="21"/>
      <c r="W1" s="21"/>
      <c r="X1" s="21"/>
      <c r="Y1" s="21"/>
      <c r="Z1" s="21"/>
    </row>
    <row r="2" spans="1:26">
      <c r="U2" s="21"/>
      <c r="V2" s="21"/>
      <c r="W2" s="21"/>
      <c r="X2" s="21"/>
      <c r="Y2" s="21"/>
      <c r="Z2" s="21"/>
    </row>
    <row r="3" spans="1:26" ht="16" thickBot="1">
      <c r="U3" s="21"/>
      <c r="V3" s="21"/>
      <c r="W3" s="21"/>
      <c r="X3" s="21"/>
      <c r="Y3" s="21"/>
      <c r="Z3" s="21"/>
    </row>
    <row r="4" spans="1:26" hidden="1">
      <c r="U4" s="21"/>
      <c r="V4" s="21"/>
      <c r="W4" s="21"/>
      <c r="X4" s="21"/>
      <c r="Y4" s="21"/>
      <c r="Z4" s="21"/>
    </row>
    <row r="5" spans="1:26" ht="16" hidden="1" thickBot="1"/>
    <row r="6" spans="1:26" s="2" customFormat="1" ht="83.5" customHeight="1" thickBot="1">
      <c r="A6" s="313" t="s">
        <v>14</v>
      </c>
      <c r="B6" s="314"/>
      <c r="C6" s="314"/>
      <c r="D6" s="314"/>
      <c r="E6" s="314"/>
      <c r="F6" s="314"/>
      <c r="G6" s="314"/>
      <c r="H6" s="314"/>
      <c r="I6" s="314"/>
      <c r="J6" s="314"/>
      <c r="K6" s="314"/>
      <c r="L6" s="314"/>
      <c r="M6" s="314"/>
      <c r="N6" s="314"/>
      <c r="O6" s="314"/>
      <c r="P6" s="314"/>
      <c r="Q6" s="314"/>
      <c r="R6" s="314"/>
      <c r="S6" s="314"/>
      <c r="T6" s="314"/>
      <c r="U6" s="314"/>
      <c r="V6" s="314"/>
      <c r="W6" s="314"/>
      <c r="X6" s="314"/>
      <c r="Y6" s="314"/>
      <c r="Z6" s="315"/>
    </row>
    <row r="7" spans="1:26" s="2" customFormat="1" ht="83.5" customHeight="1">
      <c r="A7" s="285" t="s">
        <v>6</v>
      </c>
      <c r="B7" s="287" t="s">
        <v>85</v>
      </c>
      <c r="C7" s="283" t="s">
        <v>58</v>
      </c>
      <c r="D7" s="280" t="s">
        <v>7</v>
      </c>
      <c r="E7" s="281"/>
      <c r="F7" s="282"/>
      <c r="G7" s="292" t="s">
        <v>60</v>
      </c>
      <c r="H7" s="316" t="s">
        <v>66</v>
      </c>
      <c r="I7" s="280" t="s">
        <v>101</v>
      </c>
      <c r="J7" s="281"/>
      <c r="K7" s="281"/>
      <c r="L7" s="282"/>
      <c r="M7" s="280" t="s">
        <v>69</v>
      </c>
      <c r="N7" s="281"/>
      <c r="O7" s="281"/>
      <c r="P7" s="282"/>
      <c r="Q7" s="289" t="s">
        <v>64</v>
      </c>
      <c r="R7" s="290"/>
      <c r="S7" s="290"/>
      <c r="T7" s="290"/>
      <c r="U7" s="277" t="s">
        <v>86</v>
      </c>
      <c r="V7" s="278"/>
      <c r="W7" s="278"/>
      <c r="X7" s="278"/>
      <c r="Y7" s="278"/>
      <c r="Z7" s="279"/>
    </row>
    <row r="8" spans="1:26" s="2" customFormat="1" ht="83.5" customHeight="1" thickBot="1">
      <c r="A8" s="286"/>
      <c r="B8" s="288"/>
      <c r="C8" s="284"/>
      <c r="D8" s="27" t="s">
        <v>57</v>
      </c>
      <c r="E8" s="28" t="s">
        <v>91</v>
      </c>
      <c r="F8" s="29" t="s">
        <v>88</v>
      </c>
      <c r="G8" s="293"/>
      <c r="H8" s="317"/>
      <c r="I8" s="196" t="s">
        <v>0</v>
      </c>
      <c r="J8" s="63" t="s">
        <v>89</v>
      </c>
      <c r="K8" s="63" t="s">
        <v>100</v>
      </c>
      <c r="L8" s="198" t="s">
        <v>12</v>
      </c>
      <c r="M8" s="196" t="s">
        <v>0</v>
      </c>
      <c r="N8" s="63" t="s">
        <v>89</v>
      </c>
      <c r="O8" s="63" t="s">
        <v>100</v>
      </c>
      <c r="P8" s="198" t="s">
        <v>12</v>
      </c>
      <c r="Q8" s="196" t="s">
        <v>61</v>
      </c>
      <c r="R8" s="63" t="s">
        <v>92</v>
      </c>
      <c r="S8" s="63" t="s">
        <v>96</v>
      </c>
      <c r="T8" s="199" t="s">
        <v>12</v>
      </c>
      <c r="U8" s="196" t="s">
        <v>61</v>
      </c>
      <c r="V8" s="64" t="s">
        <v>92</v>
      </c>
      <c r="W8" s="63" t="s">
        <v>96</v>
      </c>
      <c r="X8" s="197" t="s">
        <v>65</v>
      </c>
      <c r="Y8" s="197" t="s">
        <v>35</v>
      </c>
      <c r="Z8" s="61" t="s">
        <v>8</v>
      </c>
    </row>
    <row r="9" spans="1:26" ht="173.5" customHeight="1">
      <c r="A9" s="6">
        <v>1</v>
      </c>
      <c r="B9" s="14"/>
      <c r="C9" s="11" t="s">
        <v>118</v>
      </c>
      <c r="D9" s="11"/>
      <c r="E9" s="11"/>
      <c r="F9" s="6"/>
      <c r="G9" s="10"/>
      <c r="H9" s="10"/>
      <c r="I9" s="226">
        <f>Fab[[#This Row],[Column11]]+Fab[[#This Row],[Column12]]</f>
        <v>0</v>
      </c>
      <c r="J9" s="59">
        <v>0</v>
      </c>
      <c r="K9" s="59">
        <v>0</v>
      </c>
      <c r="L9" s="228">
        <f>IFERROR(J9/I9,0)</f>
        <v>0</v>
      </c>
      <c r="M9" s="226">
        <f>Fab[[#This Row],[Column16]]+Fab[[#This Row],[Column17]]</f>
        <v>0</v>
      </c>
      <c r="N9" s="59">
        <v>0</v>
      </c>
      <c r="O9" s="59">
        <v>0</v>
      </c>
      <c r="P9" s="228">
        <f>IFERROR(N9/M9,0)</f>
        <v>0</v>
      </c>
      <c r="Q9" s="231">
        <f>Fab[[#This Row],[Column20]]+Fab[[#This Row],[Column21]]</f>
        <v>0</v>
      </c>
      <c r="R9" s="71">
        <v>0</v>
      </c>
      <c r="S9" s="71">
        <v>0</v>
      </c>
      <c r="T9" s="49">
        <f>IFERROR(R9/Q9,0)</f>
        <v>0</v>
      </c>
      <c r="U9" s="234">
        <f>Fab[[#This Row],[Column30]]+Fab[[#This Row],[Column29]]</f>
        <v>0</v>
      </c>
      <c r="V9" s="71">
        <v>0</v>
      </c>
      <c r="W9" s="71">
        <v>0</v>
      </c>
      <c r="X9" s="49">
        <f>IFERROR(Fab[[#This Row],[Column30]]/Fab[[#This Row],[Column24]],0)</f>
        <v>0</v>
      </c>
      <c r="Y9" s="237">
        <f>IFERROR(Fab[[#This Row],[Column24]]/Fab[[#This Row],[Column19]],0)</f>
        <v>0</v>
      </c>
      <c r="Z9" s="77"/>
    </row>
    <row r="10" spans="1:26" ht="83.5" customHeight="1">
      <c r="A10" s="6">
        <v>2</v>
      </c>
      <c r="B10" s="11"/>
      <c r="C10" s="11" t="s">
        <v>118</v>
      </c>
      <c r="D10" s="6"/>
      <c r="E10" s="11"/>
      <c r="F10" s="11"/>
      <c r="G10" s="36"/>
      <c r="H10" s="78"/>
      <c r="I10" s="227">
        <f>Fab[[#This Row],[Column11]]+Fab[[#This Row],[Column12]]</f>
        <v>0</v>
      </c>
      <c r="J10" s="19">
        <v>0</v>
      </c>
      <c r="K10" s="19">
        <v>0</v>
      </c>
      <c r="L10" s="229">
        <f t="shared" ref="L10:L12" si="0">IFERROR(J10/I10,0)</f>
        <v>0</v>
      </c>
      <c r="M10" s="227">
        <f>Fab[[#This Row],[Column16]]+Fab[[#This Row],[Column17]]</f>
        <v>0</v>
      </c>
      <c r="N10" s="19">
        <v>0</v>
      </c>
      <c r="O10" s="19">
        <v>0</v>
      </c>
      <c r="P10" s="229">
        <f>IFERROR(N12/M12,0)</f>
        <v>0</v>
      </c>
      <c r="Q10" s="232">
        <f>Fab[[#This Row],[Column20]]+Fab[[#This Row],[Column21]]</f>
        <v>0</v>
      </c>
      <c r="R10" s="32">
        <v>0</v>
      </c>
      <c r="S10" s="32">
        <v>0</v>
      </c>
      <c r="T10" s="53">
        <f t="shared" ref="T10:T12" si="1">IFERROR(R10/Q10,0)</f>
        <v>0</v>
      </c>
      <c r="U10" s="235">
        <f>Fab[[#This Row],[Column30]]+Fab[[#This Row],[Column29]]</f>
        <v>0</v>
      </c>
      <c r="V10" s="34">
        <v>0</v>
      </c>
      <c r="W10" s="32">
        <v>0</v>
      </c>
      <c r="X10" s="53">
        <f>IFERROR(Fab[[#This Row],[Column30]]/Fab[[#This Row],[Column24]],0)</f>
        <v>0</v>
      </c>
      <c r="Y10" s="238">
        <f>IFERROR(Fab[[#This Row],[Column24]]/Fab[[#This Row],[Column19]],0)</f>
        <v>0</v>
      </c>
      <c r="Z10" s="80"/>
    </row>
    <row r="11" spans="1:26" ht="83.5" customHeight="1">
      <c r="A11" s="6">
        <v>3</v>
      </c>
      <c r="B11" s="14"/>
      <c r="C11" s="11" t="s">
        <v>118</v>
      </c>
      <c r="D11" s="6"/>
      <c r="E11" s="11"/>
      <c r="F11" s="11"/>
      <c r="G11" s="7"/>
      <c r="H11" s="15"/>
      <c r="I11" s="227">
        <f>Fab[[#This Row],[Column11]]+Fab[[#This Row],[Column12]]</f>
        <v>0</v>
      </c>
      <c r="J11" s="19">
        <v>0</v>
      </c>
      <c r="K11" s="19">
        <v>0</v>
      </c>
      <c r="L11" s="229">
        <f t="shared" si="0"/>
        <v>0</v>
      </c>
      <c r="M11" s="227">
        <f>Fab[[#This Row],[Column16]]+Fab[[#This Row],[Column17]]</f>
        <v>0</v>
      </c>
      <c r="N11" s="19">
        <v>0</v>
      </c>
      <c r="O11" s="19">
        <v>0</v>
      </c>
      <c r="P11" s="229">
        <f>IFERROR(N11/M11,0)</f>
        <v>0</v>
      </c>
      <c r="Q11" s="232">
        <f>Fab[[#This Row],[Column20]]+Fab[[#This Row],[Column21]]</f>
        <v>0</v>
      </c>
      <c r="R11" s="32">
        <v>0</v>
      </c>
      <c r="S11" s="32">
        <v>0</v>
      </c>
      <c r="T11" s="53">
        <f t="shared" si="1"/>
        <v>0</v>
      </c>
      <c r="U11" s="235">
        <f>Fab[[#This Row],[Column30]]+Fab[[#This Row],[Column29]]</f>
        <v>0</v>
      </c>
      <c r="V11" s="34">
        <v>0</v>
      </c>
      <c r="W11" s="32">
        <v>0</v>
      </c>
      <c r="X11" s="53">
        <f>IFERROR(Fab[[#This Row],[Column30]]/Fab[[#This Row],[Column24]],0)</f>
        <v>0</v>
      </c>
      <c r="Y11" s="238">
        <f>IFERROR(Fab[[#This Row],[Column24]]/Fab[[#This Row],[Column19]],0)</f>
        <v>0</v>
      </c>
      <c r="Z11" s="35"/>
    </row>
    <row r="12" spans="1:26" ht="16" thickBot="1">
      <c r="A12" s="6">
        <v>4</v>
      </c>
      <c r="B12" s="14"/>
      <c r="C12" s="11"/>
      <c r="D12" s="6"/>
      <c r="E12" s="12"/>
      <c r="F12" s="13"/>
      <c r="G12" s="7"/>
      <c r="H12" s="15"/>
      <c r="I12" s="227">
        <f>Fab[[#This Row],[Column11]]+Fab[[#This Row],[Column12]]</f>
        <v>0</v>
      </c>
      <c r="J12" s="19">
        <v>0</v>
      </c>
      <c r="K12" s="19">
        <v>0</v>
      </c>
      <c r="L12" s="229">
        <f t="shared" si="0"/>
        <v>0</v>
      </c>
      <c r="M12" s="227">
        <f>Fab[[#This Row],[Column16]]+Fab[[#This Row],[Column17]]</f>
        <v>0</v>
      </c>
      <c r="N12" s="19">
        <v>0</v>
      </c>
      <c r="O12" s="19">
        <v>0</v>
      </c>
      <c r="P12" s="229">
        <f>IFERROR(N12/M12,0)</f>
        <v>0</v>
      </c>
      <c r="Q12" s="232">
        <f>Fab[[#This Row],[Column20]]+Fab[[#This Row],[Column21]]</f>
        <v>0</v>
      </c>
      <c r="R12" s="32">
        <v>0</v>
      </c>
      <c r="S12" s="32">
        <v>0</v>
      </c>
      <c r="T12" s="53">
        <f t="shared" si="1"/>
        <v>0</v>
      </c>
      <c r="U12" s="235">
        <f>Fab[[#This Row],[Column30]]+Fab[[#This Row],[Column29]]</f>
        <v>0</v>
      </c>
      <c r="V12" s="34">
        <v>0</v>
      </c>
      <c r="W12" s="32">
        <v>0</v>
      </c>
      <c r="X12" s="53">
        <f>IFERROR(Fab[[#This Row],[Column30]]/Fab[[#This Row],[Column24]],0)</f>
        <v>0</v>
      </c>
      <c r="Y12" s="238">
        <f>IFERROR(Fab[[#This Row],[Column24]]/Fab[[#This Row],[Column19]],0)</f>
        <v>0</v>
      </c>
      <c r="Z12" s="9"/>
    </row>
    <row r="13" spans="1:26" s="102" customFormat="1" ht="83.5" customHeight="1" thickBot="1">
      <c r="A13" s="20"/>
      <c r="B13" s="81"/>
      <c r="C13" s="82"/>
      <c r="D13" s="83" t="s">
        <v>59</v>
      </c>
      <c r="E13" s="84"/>
      <c r="F13" s="85"/>
      <c r="G13" s="87"/>
      <c r="H13" s="88"/>
      <c r="I13" s="91">
        <f>SUBTOTAL(109,Fab[Column10])</f>
        <v>0</v>
      </c>
      <c r="J13" s="92">
        <f>SUBTOTAL(109,Fab[Column11])</f>
        <v>0</v>
      </c>
      <c r="K13" s="92">
        <f>SUBTOTAL(109,Fab[Column12])</f>
        <v>0</v>
      </c>
      <c r="L13" s="103">
        <f>IFERROR(Fab[[#Totals],[Column11]]/Fab[[#Totals],[Column10]],0)</f>
        <v>0</v>
      </c>
      <c r="M13" s="91">
        <f>SUBTOTAL(109,Fab[Column15])</f>
        <v>0</v>
      </c>
      <c r="N13" s="89">
        <f>SUBTOTAL(109,Fab[Column16])</f>
        <v>0</v>
      </c>
      <c r="O13" s="89">
        <f>SUBTOTAL(109,Fab[Column17])</f>
        <v>0</v>
      </c>
      <c r="P13" s="103">
        <f>IFERROR(Fab[[#Totals],[Column16]]/Fab[[#Totals],[Column15]],0)</f>
        <v>0</v>
      </c>
      <c r="Q13" s="94">
        <f>SUBTOTAL(109,Fab[Column19])</f>
        <v>0</v>
      </c>
      <c r="R13" s="95">
        <f>SUBTOTAL(109,Fab[Column20])</f>
        <v>0</v>
      </c>
      <c r="S13" s="95">
        <f>SUBTOTAL(109,Fab[Column21])</f>
        <v>0</v>
      </c>
      <c r="T13" s="105">
        <f>IFERROR(Fab[[#Totals],[Column20]]/Fab[[#Totals],[Column19]],0)</f>
        <v>0</v>
      </c>
      <c r="U13" s="97">
        <f>SUBTOTAL(109,Fab[Column24])</f>
        <v>0</v>
      </c>
      <c r="V13" s="98">
        <f>SUBTOTAL(109,Fab[Column30])</f>
        <v>0</v>
      </c>
      <c r="W13" s="95">
        <f>SUBTOTAL(109,Fab[Column29])</f>
        <v>0</v>
      </c>
      <c r="X13" s="108">
        <f>IFERROR(Fab[[#Totals],[Column30]]/Fab[[#Totals],[Column24]],0)</f>
        <v>0</v>
      </c>
      <c r="Y13" s="100">
        <f>IFERROR(Fab[[#Totals],[Column24]]/Fab[[#Totals],[Column19]],0)</f>
        <v>0</v>
      </c>
      <c r="Z13" s="101"/>
    </row>
    <row r="14" spans="1:26">
      <c r="A14" s="5" t="s">
        <v>82</v>
      </c>
    </row>
  </sheetData>
  <sheetProtection formatRows="0" insertRows="0" deleteRows="0"/>
  <mergeCells count="11">
    <mergeCell ref="A6:Z6"/>
    <mergeCell ref="U7:Z7"/>
    <mergeCell ref="M7:P7"/>
    <mergeCell ref="Q7:T7"/>
    <mergeCell ref="A7:A8"/>
    <mergeCell ref="B7:B8"/>
    <mergeCell ref="C7:C8"/>
    <mergeCell ref="D7:F7"/>
    <mergeCell ref="G7:G8"/>
    <mergeCell ref="H7:H8"/>
    <mergeCell ref="I7:L7"/>
  </mergeCells>
  <dataValidations count="1">
    <dataValidation allowBlank="1" showInputMessage="1" showErrorMessage="1" prompt="Please fill in the cell with text" sqref="F9:H9 B9:D9 B10:F12" xr:uid="{D5D0355F-382C-4CB3-AC0D-A3072198108C}"/>
  </dataValidations>
  <pageMargins left="0.7" right="0.7" top="0.75" bottom="0.75" header="0.3" footer="0.3"/>
  <pageSetup paperSize="9" orientation="portrait" verticalDpi="4294967295"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BE284-6AD1-430E-B4C6-84670F80CE16}">
  <dimension ref="A1:Z14"/>
  <sheetViews>
    <sheetView view="pageBreakPreview" zoomScale="46" zoomScaleNormal="60" zoomScaleSheetLayoutView="46" workbookViewId="0">
      <selection activeCell="I7" sqref="I7:L7"/>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16.81640625" style="2" customWidth="1"/>
    <col min="8" max="8" width="18.453125" style="2" customWidth="1"/>
    <col min="9" max="9" width="12.08984375" style="2" customWidth="1"/>
    <col min="10" max="10" width="12.7265625" style="2" customWidth="1"/>
    <col min="11" max="11" width="15.6328125" style="2" customWidth="1"/>
    <col min="12" max="12" width="14.81640625" style="2" customWidth="1"/>
    <col min="13" max="13" width="11.1796875" style="2" customWidth="1"/>
    <col min="14" max="15" width="14.81640625" style="2" customWidth="1"/>
    <col min="16" max="16" width="10.54296875" style="2" customWidth="1"/>
    <col min="17" max="19" width="15.1796875" style="2" customWidth="1"/>
    <col min="20" max="20" width="10.26953125" style="2" customWidth="1"/>
    <col min="21" max="21" width="15.81640625" style="2" customWidth="1"/>
    <col min="22" max="22" width="17.81640625" style="2" customWidth="1"/>
    <col min="23" max="23" width="18.26953125" style="2" customWidth="1"/>
    <col min="24" max="24" width="10.08984375" style="2" customWidth="1"/>
    <col min="25" max="25" width="11.36328125" style="2" customWidth="1"/>
    <col min="26" max="26" width="31.90625" style="2" customWidth="1"/>
    <col min="27" max="16384" width="8.7265625" style="21"/>
  </cols>
  <sheetData>
    <row r="1" spans="1:26">
      <c r="V1" s="21"/>
      <c r="W1" s="21"/>
      <c r="X1" s="21"/>
      <c r="Y1" s="21"/>
      <c r="Z1" s="21"/>
    </row>
    <row r="2" spans="1:26">
      <c r="V2" s="21"/>
      <c r="W2" s="21"/>
      <c r="X2" s="21"/>
      <c r="Y2" s="21"/>
      <c r="Z2" s="21"/>
    </row>
    <row r="3" spans="1:26">
      <c r="V3" s="21"/>
      <c r="W3" s="21"/>
      <c r="X3" s="21"/>
      <c r="Y3" s="21"/>
      <c r="Z3" s="21"/>
    </row>
    <row r="4" spans="1:26" hidden="1">
      <c r="V4" s="21"/>
      <c r="W4" s="21"/>
      <c r="X4" s="21"/>
      <c r="Y4" s="21"/>
      <c r="Z4" s="21"/>
    </row>
    <row r="5" spans="1:26" hidden="1"/>
    <row r="6" spans="1:26" s="2" customFormat="1" ht="83.5" customHeight="1" thickBot="1">
      <c r="A6" s="318" t="s">
        <v>15</v>
      </c>
      <c r="B6" s="312"/>
      <c r="C6" s="312"/>
      <c r="D6" s="312"/>
      <c r="E6" s="312"/>
      <c r="F6" s="312"/>
      <c r="G6" s="312"/>
      <c r="H6" s="312"/>
      <c r="I6" s="312"/>
      <c r="J6" s="312"/>
      <c r="K6" s="312"/>
      <c r="L6" s="312"/>
      <c r="M6" s="312"/>
      <c r="N6" s="312"/>
      <c r="O6" s="312"/>
      <c r="P6" s="312"/>
      <c r="Q6" s="312"/>
      <c r="R6" s="312"/>
      <c r="S6" s="312"/>
      <c r="T6" s="312"/>
      <c r="U6" s="312"/>
      <c r="V6" s="312"/>
      <c r="W6" s="312"/>
      <c r="X6" s="312"/>
      <c r="Y6" s="312"/>
      <c r="Z6" s="312"/>
    </row>
    <row r="7" spans="1:26" s="2" customFormat="1" ht="83.5" customHeight="1">
      <c r="A7" s="285" t="s">
        <v>6</v>
      </c>
      <c r="B7" s="287" t="s">
        <v>85</v>
      </c>
      <c r="C7" s="283" t="s">
        <v>58</v>
      </c>
      <c r="D7" s="280" t="s">
        <v>7</v>
      </c>
      <c r="E7" s="281"/>
      <c r="F7" s="282"/>
      <c r="G7" s="292" t="s">
        <v>60</v>
      </c>
      <c r="H7" s="294" t="s">
        <v>66</v>
      </c>
      <c r="I7" s="280" t="s">
        <v>138</v>
      </c>
      <c r="J7" s="281"/>
      <c r="K7" s="281"/>
      <c r="L7" s="282"/>
      <c r="M7" s="280" t="s">
        <v>69</v>
      </c>
      <c r="N7" s="281"/>
      <c r="O7" s="281"/>
      <c r="P7" s="282"/>
      <c r="Q7" s="289" t="s">
        <v>64</v>
      </c>
      <c r="R7" s="290"/>
      <c r="S7" s="290"/>
      <c r="T7" s="291"/>
      <c r="U7" s="277" t="s">
        <v>86</v>
      </c>
      <c r="V7" s="278"/>
      <c r="W7" s="278"/>
      <c r="X7" s="278"/>
      <c r="Y7" s="278"/>
      <c r="Z7" s="279"/>
    </row>
    <row r="8" spans="1:26" s="2" customFormat="1" ht="83.5" customHeight="1" thickBot="1">
      <c r="A8" s="286"/>
      <c r="B8" s="288"/>
      <c r="C8" s="284"/>
      <c r="D8" s="27" t="s">
        <v>57</v>
      </c>
      <c r="E8" s="28" t="s">
        <v>87</v>
      </c>
      <c r="F8" s="29" t="s">
        <v>88</v>
      </c>
      <c r="G8" s="293"/>
      <c r="H8" s="295"/>
      <c r="I8" s="196" t="s">
        <v>0</v>
      </c>
      <c r="J8" s="63" t="s">
        <v>89</v>
      </c>
      <c r="K8" s="63" t="s">
        <v>94</v>
      </c>
      <c r="L8" s="198" t="s">
        <v>12</v>
      </c>
      <c r="M8" s="196" t="s">
        <v>0</v>
      </c>
      <c r="N8" s="63" t="s">
        <v>89</v>
      </c>
      <c r="O8" s="63" t="s">
        <v>94</v>
      </c>
      <c r="P8" s="198" t="s">
        <v>12</v>
      </c>
      <c r="Q8" s="196" t="s">
        <v>61</v>
      </c>
      <c r="R8" s="63" t="s">
        <v>92</v>
      </c>
      <c r="S8" s="63" t="s">
        <v>99</v>
      </c>
      <c r="T8" s="198" t="s">
        <v>12</v>
      </c>
      <c r="U8" s="196" t="s">
        <v>61</v>
      </c>
      <c r="V8" s="64" t="s">
        <v>90</v>
      </c>
      <c r="W8" s="28" t="s">
        <v>96</v>
      </c>
      <c r="X8" s="197" t="s">
        <v>65</v>
      </c>
      <c r="Y8" s="197" t="s">
        <v>35</v>
      </c>
      <c r="Z8" s="61" t="s">
        <v>8</v>
      </c>
    </row>
    <row r="9" spans="1:26" ht="83.5" customHeight="1">
      <c r="A9" s="107">
        <v>1</v>
      </c>
      <c r="B9" s="14"/>
      <c r="C9" s="11" t="s">
        <v>118</v>
      </c>
      <c r="D9" s="11"/>
      <c r="E9" s="11"/>
      <c r="F9" s="11"/>
      <c r="G9" s="10"/>
      <c r="H9" s="10"/>
      <c r="I9" s="226">
        <f>Mat[[#This Row],[Column11]]+Mat[[#This Row],[Column12]]</f>
        <v>0</v>
      </c>
      <c r="J9" s="59">
        <v>0</v>
      </c>
      <c r="K9" s="59">
        <v>0</v>
      </c>
      <c r="L9" s="228">
        <f>IFERROR(J9/I9,0)</f>
        <v>0</v>
      </c>
      <c r="M9" s="226">
        <f>Mat[[#This Row],[Column16]]+Mat[[#This Row],[Column17]]</f>
        <v>0</v>
      </c>
      <c r="N9" s="59">
        <v>0</v>
      </c>
      <c r="O9" s="59">
        <v>0</v>
      </c>
      <c r="P9" s="228">
        <f>IFERROR(N9/M9,0)</f>
        <v>0</v>
      </c>
      <c r="Q9" s="231">
        <f>Mat[[#This Row],[Column20]]+Mat[[#This Row],[Column21]]</f>
        <v>0</v>
      </c>
      <c r="R9" s="71">
        <v>0</v>
      </c>
      <c r="S9" s="71">
        <v>0</v>
      </c>
      <c r="T9" s="49">
        <f>IFERROR(R9/Q9,0)</f>
        <v>0</v>
      </c>
      <c r="U9" s="234">
        <f>Mat[[#This Row],[Column30]]+Mat[[#This Row],[Column29]]</f>
        <v>0</v>
      </c>
      <c r="V9" s="71">
        <v>0</v>
      </c>
      <c r="W9" s="71">
        <v>0</v>
      </c>
      <c r="X9" s="49">
        <f>IFERROR(Mat[[#This Row],[Column30]]/Mat[[#This Row],[Column24]],0)</f>
        <v>0</v>
      </c>
      <c r="Y9" s="237">
        <f>IFERROR(Mat[[#This Row],[Column24]]/Mat[[#This Row],[Column19]],0)</f>
        <v>0</v>
      </c>
      <c r="Z9" s="77"/>
    </row>
    <row r="10" spans="1:26" ht="83.5" customHeight="1">
      <c r="A10" s="6">
        <v>2</v>
      </c>
      <c r="B10" s="11"/>
      <c r="C10" s="11" t="s">
        <v>118</v>
      </c>
      <c r="D10" s="11"/>
      <c r="E10" s="11"/>
      <c r="F10" s="11"/>
      <c r="G10" s="10"/>
      <c r="H10" s="10"/>
      <c r="I10" s="227">
        <f>Mat[[#This Row],[Column11]]+Mat[[#This Row],[Column12]]</f>
        <v>0</v>
      </c>
      <c r="J10" s="19">
        <v>0</v>
      </c>
      <c r="K10" s="19">
        <v>0</v>
      </c>
      <c r="L10" s="229">
        <f t="shared" ref="L10:L12" si="0">IFERROR(J10/I10,0)</f>
        <v>0</v>
      </c>
      <c r="M10" s="227">
        <f>Mat[[#This Row],[Column16]]+Mat[[#This Row],[Column17]]</f>
        <v>0</v>
      </c>
      <c r="N10" s="19">
        <v>0</v>
      </c>
      <c r="O10" s="19">
        <v>0</v>
      </c>
      <c r="P10" s="229">
        <f>IFERROR(N12/M12,0)</f>
        <v>0</v>
      </c>
      <c r="Q10" s="232">
        <f>Mat[[#This Row],[Column20]]+Mat[[#This Row],[Column21]]</f>
        <v>0</v>
      </c>
      <c r="R10" s="71">
        <v>0</v>
      </c>
      <c r="S10" s="71">
        <v>0</v>
      </c>
      <c r="T10" s="53">
        <f t="shared" ref="T10:T12" si="1">IFERROR(R10/Q10,0)</f>
        <v>0</v>
      </c>
      <c r="U10" s="235">
        <f>Mat[[#This Row],[Column30]]+Mat[[#This Row],[Column29]]</f>
        <v>0</v>
      </c>
      <c r="V10" s="71">
        <v>0</v>
      </c>
      <c r="W10" s="71">
        <v>0</v>
      </c>
      <c r="X10" s="53">
        <f>IFERROR(Mat[[#This Row],[Column30]]/Mat[[#This Row],[Column24]],0)</f>
        <v>0</v>
      </c>
      <c r="Y10" s="238">
        <f>IFERROR(Mat[[#This Row],[Column24]]/Mat[[#This Row],[Column19]],0)</f>
        <v>0</v>
      </c>
      <c r="Z10" s="80"/>
    </row>
    <row r="11" spans="1:26" ht="83.5" customHeight="1">
      <c r="A11" s="6">
        <v>3</v>
      </c>
      <c r="B11" s="10"/>
      <c r="C11" s="11" t="s">
        <v>118</v>
      </c>
      <c r="D11" s="6"/>
      <c r="E11" s="11"/>
      <c r="F11" s="11"/>
      <c r="G11" s="7"/>
      <c r="H11" s="15"/>
      <c r="I11" s="227">
        <f>Mat[[#This Row],[Column11]]+Mat[[#This Row],[Column12]]</f>
        <v>0</v>
      </c>
      <c r="J11" s="19">
        <v>0</v>
      </c>
      <c r="K11" s="19">
        <v>0</v>
      </c>
      <c r="L11" s="229">
        <f t="shared" si="0"/>
        <v>0</v>
      </c>
      <c r="M11" s="227">
        <f>Mat[[#This Row],[Column16]]+Mat[[#This Row],[Column17]]</f>
        <v>0</v>
      </c>
      <c r="N11" s="19">
        <v>0</v>
      </c>
      <c r="O11" s="19">
        <v>0</v>
      </c>
      <c r="P11" s="229">
        <f>IFERROR(N11/M11,0)</f>
        <v>0</v>
      </c>
      <c r="Q11" s="232">
        <f>Mat[[#This Row],[Column20]]+Mat[[#This Row],[Column21]]</f>
        <v>0</v>
      </c>
      <c r="R11" s="71">
        <v>0</v>
      </c>
      <c r="S11" s="71">
        <v>0</v>
      </c>
      <c r="T11" s="53">
        <f t="shared" si="1"/>
        <v>0</v>
      </c>
      <c r="U11" s="235">
        <f>Mat[[#This Row],[Column30]]+Mat[[#This Row],[Column29]]</f>
        <v>0</v>
      </c>
      <c r="V11" s="34">
        <v>0</v>
      </c>
      <c r="W11" s="32">
        <v>0</v>
      </c>
      <c r="X11" s="53">
        <f>IFERROR(Mat[[#This Row],[Column30]]/Mat[[#This Row],[Column24]],0)</f>
        <v>0</v>
      </c>
      <c r="Y11" s="238">
        <f>IFERROR(W11/V11,0)</f>
        <v>0</v>
      </c>
      <c r="Z11" s="35"/>
    </row>
    <row r="12" spans="1:26" ht="16" thickBot="1">
      <c r="A12" s="6">
        <v>4</v>
      </c>
      <c r="B12" s="10"/>
      <c r="C12" s="11"/>
      <c r="D12" s="6"/>
      <c r="E12" s="12"/>
      <c r="F12" s="13"/>
      <c r="G12" s="7"/>
      <c r="H12" s="15"/>
      <c r="I12" s="227">
        <f>Mat[[#This Row],[Column11]]+Mat[[#This Row],[Column12]]</f>
        <v>0</v>
      </c>
      <c r="J12" s="19">
        <v>0</v>
      </c>
      <c r="K12" s="19">
        <v>0</v>
      </c>
      <c r="L12" s="229">
        <f t="shared" si="0"/>
        <v>0</v>
      </c>
      <c r="M12" s="227">
        <f>Mat[[#This Row],[Column16]]+Mat[[#This Row],[Column17]]</f>
        <v>0</v>
      </c>
      <c r="N12" s="19">
        <v>0</v>
      </c>
      <c r="O12" s="19">
        <v>0</v>
      </c>
      <c r="P12" s="229">
        <f>IFERROR(N12/M12,0)</f>
        <v>0</v>
      </c>
      <c r="Q12" s="232">
        <f>Mat[[#This Row],[Column20]]+Mat[[#This Row],[Column21]]</f>
        <v>0</v>
      </c>
      <c r="R12" s="32">
        <v>0</v>
      </c>
      <c r="S12" s="32">
        <v>0</v>
      </c>
      <c r="T12" s="53">
        <f t="shared" si="1"/>
        <v>0</v>
      </c>
      <c r="U12" s="235">
        <f>Mat[[#This Row],[Column30]]+Mat[[#This Row],[Column29]]</f>
        <v>0</v>
      </c>
      <c r="V12" s="34">
        <v>0</v>
      </c>
      <c r="W12" s="32">
        <v>0</v>
      </c>
      <c r="X12" s="53">
        <f>IFERROR(Mat[[#This Row],[Column30]]/Mat[[#This Row],[Column24]],0)</f>
        <v>0</v>
      </c>
      <c r="Y12" s="238">
        <f>IFERROR(W12/V12,0)</f>
        <v>0</v>
      </c>
      <c r="Z12" s="9"/>
    </row>
    <row r="13" spans="1:26" s="102" customFormat="1" ht="83.5" customHeight="1" thickBot="1">
      <c r="A13" s="20"/>
      <c r="B13" s="81"/>
      <c r="C13" s="82"/>
      <c r="D13" s="83" t="s">
        <v>59</v>
      </c>
      <c r="E13" s="84"/>
      <c r="F13" s="85"/>
      <c r="G13" s="87"/>
      <c r="H13" s="88"/>
      <c r="I13" s="91">
        <f>SUBTOTAL(109,Mat[Column10])</f>
        <v>0</v>
      </c>
      <c r="J13" s="92">
        <f>SUBTOTAL(109,Mat[Column11])</f>
        <v>0</v>
      </c>
      <c r="K13" s="92">
        <f>SUBTOTAL(109,Mat[Column12])</f>
        <v>0</v>
      </c>
      <c r="L13" s="103">
        <f>IFERROR(Mat[[#Totals],[Column11]]/Mat[[#Totals],[Column10]],0)</f>
        <v>0</v>
      </c>
      <c r="M13" s="91">
        <f>SUBTOTAL(109,Mat[Column15])</f>
        <v>0</v>
      </c>
      <c r="N13" s="89">
        <f>SUBTOTAL(109,Mat[Column16])</f>
        <v>0</v>
      </c>
      <c r="O13" s="89">
        <f>SUBTOTAL(109,Mat[Column17])</f>
        <v>0</v>
      </c>
      <c r="P13" s="103">
        <f>IFERROR(Mat[[#Totals],[Column16]]/Mat[[#Totals],[Column15]],0)</f>
        <v>0</v>
      </c>
      <c r="Q13" s="94">
        <f>SUBTOTAL(109,Mat[Column19])</f>
        <v>0</v>
      </c>
      <c r="R13" s="95">
        <f>SUBTOTAL(109,Mat[Column20])</f>
        <v>0</v>
      </c>
      <c r="S13" s="95">
        <f>SUBTOTAL(109,Mat[Column21])</f>
        <v>0</v>
      </c>
      <c r="T13" s="105">
        <f>IFERROR(Mat[[#Totals],[Column20]]/Mat[[#Totals],[Column19]],0)</f>
        <v>0</v>
      </c>
      <c r="U13" s="97">
        <f>SUBTOTAL(109,Mat[Column24])</f>
        <v>0</v>
      </c>
      <c r="V13" s="98">
        <f>SUBTOTAL(109,Mat[Column30])</f>
        <v>0</v>
      </c>
      <c r="W13" s="95">
        <f>SUBTOTAL(109,Mat[Column29])</f>
        <v>0</v>
      </c>
      <c r="X13" s="108">
        <f>IFERROR(Mat[[#Totals],[Column30]]/Mat[[#Totals],[Column24]],0)</f>
        <v>0</v>
      </c>
      <c r="Y13" s="100">
        <f>IFERROR(Mat[[#Totals],[Column24]]/Mat[[#Totals],[Column19]],0)</f>
        <v>0</v>
      </c>
      <c r="Z13" s="101"/>
    </row>
    <row r="14" spans="1:26">
      <c r="A14" s="5" t="s">
        <v>82</v>
      </c>
    </row>
  </sheetData>
  <sheetProtection formatRows="0" insertRows="0" deleteRows="0"/>
  <mergeCells count="11">
    <mergeCell ref="M7:P7"/>
    <mergeCell ref="Q7:T7"/>
    <mergeCell ref="U7:Z7"/>
    <mergeCell ref="A6:Z6"/>
    <mergeCell ref="A7:A8"/>
    <mergeCell ref="B7:B8"/>
    <mergeCell ref="C7:C8"/>
    <mergeCell ref="D7:F7"/>
    <mergeCell ref="G7:G8"/>
    <mergeCell ref="H7:H8"/>
    <mergeCell ref="I7:L7"/>
  </mergeCells>
  <dataValidations count="1">
    <dataValidation allowBlank="1" showInputMessage="1" showErrorMessage="1" prompt="Please fill in the cell with text" sqref="G9:H10 B9:F12" xr:uid="{A39BB05F-C32A-4CD1-9186-D85272E747EC}"/>
  </dataValidations>
  <pageMargins left="0.7" right="0.7" top="0.75" bottom="0.75" header="0.3" footer="0.3"/>
  <pageSetup paperSize="9" orientation="portrait" verticalDpi="4294967295"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11D08-AAF9-4176-9650-DEE3DA0FCD6B}">
  <dimension ref="A1:Z14"/>
  <sheetViews>
    <sheetView view="pageBreakPreview" zoomScale="45" zoomScaleNormal="55" zoomScaleSheetLayoutView="45" workbookViewId="0">
      <selection activeCell="K13" sqref="K13"/>
    </sheetView>
  </sheetViews>
  <sheetFormatPr defaultRowHeight="15.5"/>
  <cols>
    <col min="1" max="1" width="13.453125" style="2" customWidth="1"/>
    <col min="2" max="2" width="32.26953125" style="2" customWidth="1"/>
    <col min="3" max="3" width="33.54296875" style="2" customWidth="1"/>
    <col min="4" max="4" width="29.36328125" style="2" customWidth="1"/>
    <col min="5" max="6" width="27.26953125" style="2" customWidth="1"/>
    <col min="7" max="7" width="20.26953125" style="2" bestFit="1" customWidth="1"/>
    <col min="8" max="8" width="19" style="2" customWidth="1"/>
    <col min="9" max="9" width="11.1796875" style="2" customWidth="1"/>
    <col min="10" max="11" width="14.81640625" style="2" customWidth="1"/>
    <col min="12" max="12" width="9.1796875" style="2" customWidth="1"/>
    <col min="13" max="13" width="13.36328125" style="2" customWidth="1"/>
    <col min="14" max="15" width="14.81640625" style="2" customWidth="1"/>
    <col min="16" max="16" width="7.7265625" style="2" customWidth="1"/>
    <col min="17" max="19" width="15.1796875" style="2" customWidth="1"/>
    <col min="20" max="20" width="8.54296875" style="2" customWidth="1"/>
    <col min="21" max="21" width="16.1796875" style="2" customWidth="1"/>
    <col min="22" max="22" width="17.1796875" style="2" customWidth="1"/>
    <col min="23" max="23" width="18" style="2" customWidth="1"/>
    <col min="24" max="24" width="9.453125" style="2" customWidth="1"/>
    <col min="25" max="25" width="9.1796875" style="2" customWidth="1"/>
    <col min="26" max="26" width="23.54296875" style="2" customWidth="1"/>
    <col min="27" max="16384" width="8.7265625" style="21"/>
  </cols>
  <sheetData>
    <row r="1" spans="1:26">
      <c r="V1" s="21"/>
      <c r="W1" s="21"/>
      <c r="X1" s="21"/>
      <c r="Y1" s="21"/>
      <c r="Z1" s="21"/>
    </row>
    <row r="2" spans="1:26">
      <c r="V2" s="21"/>
      <c r="W2" s="21"/>
      <c r="X2" s="21"/>
      <c r="Y2" s="21"/>
      <c r="Z2" s="21"/>
    </row>
    <row r="3" spans="1:26">
      <c r="V3" s="21"/>
      <c r="W3" s="21"/>
      <c r="X3" s="21"/>
      <c r="Y3" s="21"/>
      <c r="Z3" s="21"/>
    </row>
    <row r="4" spans="1:26" ht="19" hidden="1" customHeight="1">
      <c r="V4" s="21"/>
      <c r="W4" s="21"/>
      <c r="X4" s="21"/>
      <c r="Y4" s="21"/>
      <c r="Z4" s="21"/>
    </row>
    <row r="5" spans="1:26" hidden="1">
      <c r="V5" s="21"/>
      <c r="W5" s="21"/>
      <c r="X5" s="21"/>
      <c r="Y5" s="21"/>
      <c r="Z5" s="21"/>
    </row>
    <row r="6" spans="1:26" s="2" customFormat="1" ht="83.5" customHeight="1" thickBot="1">
      <c r="A6" s="318" t="s">
        <v>76</v>
      </c>
      <c r="B6" s="312"/>
      <c r="C6" s="312"/>
      <c r="D6" s="312"/>
      <c r="E6" s="312"/>
      <c r="F6" s="312"/>
      <c r="G6" s="312"/>
      <c r="H6" s="312"/>
      <c r="I6" s="312"/>
      <c r="J6" s="312"/>
      <c r="K6" s="312"/>
      <c r="L6" s="312"/>
      <c r="M6" s="312"/>
      <c r="N6" s="312"/>
      <c r="O6" s="312"/>
      <c r="P6" s="312"/>
      <c r="Q6" s="312"/>
      <c r="R6" s="312"/>
      <c r="S6" s="312"/>
      <c r="T6" s="312"/>
      <c r="U6" s="312"/>
      <c r="V6" s="312"/>
      <c r="W6" s="312"/>
      <c r="X6" s="312"/>
      <c r="Y6" s="312"/>
      <c r="Z6" s="312"/>
    </row>
    <row r="7" spans="1:26" s="2" customFormat="1" ht="83.5" customHeight="1">
      <c r="A7" s="285" t="s">
        <v>6</v>
      </c>
      <c r="B7" s="287" t="s">
        <v>85</v>
      </c>
      <c r="C7" s="283" t="s">
        <v>58</v>
      </c>
      <c r="D7" s="280" t="s">
        <v>7</v>
      </c>
      <c r="E7" s="281"/>
      <c r="F7" s="282"/>
      <c r="G7" s="292" t="s">
        <v>60</v>
      </c>
      <c r="H7" s="294" t="s">
        <v>66</v>
      </c>
      <c r="I7" s="280" t="s">
        <v>62</v>
      </c>
      <c r="J7" s="281"/>
      <c r="K7" s="281"/>
      <c r="L7" s="282"/>
      <c r="M7" s="280" t="s">
        <v>69</v>
      </c>
      <c r="N7" s="281"/>
      <c r="O7" s="281"/>
      <c r="P7" s="282"/>
      <c r="Q7" s="289" t="s">
        <v>64</v>
      </c>
      <c r="R7" s="290"/>
      <c r="S7" s="290"/>
      <c r="T7" s="291"/>
      <c r="U7" s="277" t="s">
        <v>86</v>
      </c>
      <c r="V7" s="278"/>
      <c r="W7" s="278"/>
      <c r="X7" s="278"/>
      <c r="Y7" s="278"/>
      <c r="Z7" s="279"/>
    </row>
    <row r="8" spans="1:26" s="2" customFormat="1" ht="83.5" customHeight="1" thickBot="1">
      <c r="A8" s="286"/>
      <c r="B8" s="288"/>
      <c r="C8" s="284"/>
      <c r="D8" s="27" t="s">
        <v>57</v>
      </c>
      <c r="E8" s="28" t="s">
        <v>87</v>
      </c>
      <c r="F8" s="29" t="s">
        <v>88</v>
      </c>
      <c r="G8" s="293"/>
      <c r="H8" s="295"/>
      <c r="I8" s="196" t="s">
        <v>0</v>
      </c>
      <c r="J8" s="63" t="s">
        <v>89</v>
      </c>
      <c r="K8" s="63" t="s">
        <v>94</v>
      </c>
      <c r="L8" s="198" t="s">
        <v>12</v>
      </c>
      <c r="M8" s="196" t="s">
        <v>0</v>
      </c>
      <c r="N8" s="63" t="s">
        <v>89</v>
      </c>
      <c r="O8" s="63" t="s">
        <v>94</v>
      </c>
      <c r="P8" s="198" t="s">
        <v>12</v>
      </c>
      <c r="Q8" s="196" t="s">
        <v>61</v>
      </c>
      <c r="R8" s="63" t="s">
        <v>92</v>
      </c>
      <c r="S8" s="63" t="s">
        <v>99</v>
      </c>
      <c r="T8" s="198" t="s">
        <v>12</v>
      </c>
      <c r="U8" s="196" t="s">
        <v>61</v>
      </c>
      <c r="V8" s="64" t="s">
        <v>90</v>
      </c>
      <c r="W8" s="28" t="s">
        <v>96</v>
      </c>
      <c r="X8" s="197" t="s">
        <v>65</v>
      </c>
      <c r="Y8" s="197" t="s">
        <v>35</v>
      </c>
      <c r="Z8" s="61" t="s">
        <v>8</v>
      </c>
    </row>
    <row r="9" spans="1:26" ht="83.5" customHeight="1">
      <c r="A9" s="107">
        <v>1</v>
      </c>
      <c r="B9" s="10"/>
      <c r="C9" s="11" t="s">
        <v>118</v>
      </c>
      <c r="D9" s="6"/>
      <c r="E9" s="11"/>
      <c r="F9" s="11"/>
      <c r="G9" s="65"/>
      <c r="H9" s="66"/>
      <c r="I9" s="226">
        <f>Well[[#This Row],[Column11]]+Well[[#This Row],[Column12]]</f>
        <v>0</v>
      </c>
      <c r="J9" s="59">
        <v>0</v>
      </c>
      <c r="K9" s="59">
        <v>0</v>
      </c>
      <c r="L9" s="228">
        <f>IFERROR(J9/I9,0)</f>
        <v>0</v>
      </c>
      <c r="M9" s="226">
        <f>Well[[#This Row],[Column16]]+Well[[#This Row],[Column17]]</f>
        <v>0</v>
      </c>
      <c r="N9" s="59">
        <v>0</v>
      </c>
      <c r="O9" s="59">
        <v>0</v>
      </c>
      <c r="P9" s="228">
        <f>IFERROR(N9/M9,0)</f>
        <v>0</v>
      </c>
      <c r="Q9" s="231">
        <f>Well[[#This Row],[Column20]]+Well[[#This Row],[Column21]]</f>
        <v>0</v>
      </c>
      <c r="R9" s="71">
        <v>0</v>
      </c>
      <c r="S9" s="71">
        <v>0</v>
      </c>
      <c r="T9" s="49">
        <f>IFERROR(R9/Q9,0)</f>
        <v>0</v>
      </c>
      <c r="U9" s="234">
        <f>Well[[#This Row],[Column30]]+Well[[#This Row],[Column29]]</f>
        <v>0</v>
      </c>
      <c r="V9" s="74">
        <v>0</v>
      </c>
      <c r="W9" s="71">
        <v>0</v>
      </c>
      <c r="X9" s="49">
        <f>IFERROR(Well[[#This Row],[Column30]]/Well[[#This Row],[Column24]],0)</f>
        <v>0</v>
      </c>
      <c r="Y9" s="237">
        <f>IFERROR(Well[[#This Row],[Column24]]/Well[[#This Row],[Column19]],0)</f>
        <v>0</v>
      </c>
      <c r="Z9" s="77"/>
    </row>
    <row r="10" spans="1:26" ht="83.5" customHeight="1">
      <c r="A10" s="6">
        <v>2</v>
      </c>
      <c r="B10" s="6"/>
      <c r="C10" s="11" t="s">
        <v>118</v>
      </c>
      <c r="D10" s="6"/>
      <c r="E10" s="11"/>
      <c r="F10" s="11"/>
      <c r="G10" s="36"/>
      <c r="H10" s="78"/>
      <c r="I10" s="227">
        <f>Well[[#This Row],[Column11]]+Well[[#This Row],[Column12]]</f>
        <v>0</v>
      </c>
      <c r="J10" s="19">
        <v>0</v>
      </c>
      <c r="K10" s="19">
        <v>0</v>
      </c>
      <c r="L10" s="229">
        <f t="shared" ref="L10:L12" si="0">IFERROR(J10/I10,0)</f>
        <v>0</v>
      </c>
      <c r="M10" s="227">
        <f>Well[[#This Row],[Column16]]+Well[[#This Row],[Column17]]</f>
        <v>0</v>
      </c>
      <c r="N10" s="19">
        <v>0</v>
      </c>
      <c r="O10" s="19">
        <v>0</v>
      </c>
      <c r="P10" s="229">
        <f>IFERROR(N12/M12,0)</f>
        <v>0</v>
      </c>
      <c r="Q10" s="232">
        <f>Well[[#This Row],[Column20]]+Well[[#This Row],[Column21]]</f>
        <v>0</v>
      </c>
      <c r="R10" s="32">
        <v>0</v>
      </c>
      <c r="S10" s="32">
        <v>0</v>
      </c>
      <c r="T10" s="53">
        <f t="shared" ref="T10:T12" si="1">IFERROR(R10/Q10,0)</f>
        <v>0</v>
      </c>
      <c r="U10" s="235">
        <f>Well[[#This Row],[Column30]]+Well[[#This Row],[Column29]]</f>
        <v>0</v>
      </c>
      <c r="V10" s="34">
        <v>0</v>
      </c>
      <c r="W10" s="32">
        <v>0</v>
      </c>
      <c r="X10" s="53">
        <f>IFERROR(Well[[#This Row],[Column30]]/Well[[#This Row],[Column24]],0)</f>
        <v>0</v>
      </c>
      <c r="Y10" s="238">
        <f>IFERROR(Well[[#This Row],[Column24]]/Well[[#This Row],[Column19]],0)</f>
        <v>0</v>
      </c>
      <c r="Z10" s="80"/>
    </row>
    <row r="11" spans="1:26" ht="83.5" customHeight="1">
      <c r="A11" s="6">
        <v>3</v>
      </c>
      <c r="B11" s="10"/>
      <c r="C11" s="11" t="s">
        <v>118</v>
      </c>
      <c r="D11" s="6"/>
      <c r="E11" s="11"/>
      <c r="F11" s="11"/>
      <c r="G11" s="7"/>
      <c r="H11" s="15"/>
      <c r="I11" s="227">
        <f>Well[[#This Row],[Column11]]+Well[[#This Row],[Column12]]</f>
        <v>0</v>
      </c>
      <c r="J11" s="19">
        <v>0</v>
      </c>
      <c r="K11" s="19">
        <v>0</v>
      </c>
      <c r="L11" s="229">
        <f t="shared" si="0"/>
        <v>0</v>
      </c>
      <c r="M11" s="227">
        <f>Well[[#This Row],[Column16]]+Well[[#This Row],[Column17]]</f>
        <v>0</v>
      </c>
      <c r="N11" s="19">
        <v>0</v>
      </c>
      <c r="O11" s="19">
        <v>0</v>
      </c>
      <c r="P11" s="229">
        <f>IFERROR(N11/M11,0)</f>
        <v>0</v>
      </c>
      <c r="Q11" s="232">
        <f>Well[[#This Row],[Column20]]+Well[[#This Row],[Column21]]</f>
        <v>0</v>
      </c>
      <c r="R11" s="32">
        <v>0</v>
      </c>
      <c r="S11" s="32">
        <v>0</v>
      </c>
      <c r="T11" s="53">
        <f t="shared" si="1"/>
        <v>0</v>
      </c>
      <c r="U11" s="235">
        <f>Well[[#This Row],[Column30]]+Well[[#This Row],[Column29]]</f>
        <v>0</v>
      </c>
      <c r="V11" s="34">
        <v>0</v>
      </c>
      <c r="W11" s="32">
        <v>0</v>
      </c>
      <c r="X11" s="53">
        <f>IFERROR(Well[[#This Row],[Column30]]/Well[[#This Row],[Column24]],0)</f>
        <v>0</v>
      </c>
      <c r="Y11" s="238">
        <f>IFERROR(Well[[#This Row],[Column24]]/Well[[#This Row],[Column19]],0)</f>
        <v>0</v>
      </c>
      <c r="Z11" s="35"/>
    </row>
    <row r="12" spans="1:26" ht="16" thickBot="1">
      <c r="A12" s="110">
        <v>4</v>
      </c>
      <c r="B12" s="10"/>
      <c r="C12" s="11"/>
      <c r="D12" s="6"/>
      <c r="E12" s="12"/>
      <c r="F12" s="13"/>
      <c r="G12" s="7"/>
      <c r="H12" s="15"/>
      <c r="I12" s="227">
        <f>Well[[#This Row],[Column11]]+Well[[#This Row],[Column12]]</f>
        <v>0</v>
      </c>
      <c r="J12" s="19">
        <v>0</v>
      </c>
      <c r="K12" s="19">
        <v>0</v>
      </c>
      <c r="L12" s="229">
        <f t="shared" si="0"/>
        <v>0</v>
      </c>
      <c r="M12" s="227">
        <f>Well[[#This Row],[Column16]]+Well[[#This Row],[Column17]]</f>
        <v>0</v>
      </c>
      <c r="N12" s="19">
        <v>0</v>
      </c>
      <c r="O12" s="19">
        <v>0</v>
      </c>
      <c r="P12" s="229">
        <f>IFERROR(N12/M12,0)</f>
        <v>0</v>
      </c>
      <c r="Q12" s="232">
        <f>Well[[#This Row],[Column20]]+Well[[#This Row],[Column21]]</f>
        <v>0</v>
      </c>
      <c r="R12" s="32">
        <v>0</v>
      </c>
      <c r="S12" s="32">
        <v>0</v>
      </c>
      <c r="T12" s="53">
        <f t="shared" si="1"/>
        <v>0</v>
      </c>
      <c r="U12" s="235">
        <f>Well[[#This Row],[Column30]]+Well[[#This Row],[Column29]]</f>
        <v>0</v>
      </c>
      <c r="V12" s="34">
        <v>0</v>
      </c>
      <c r="W12" s="32">
        <v>0</v>
      </c>
      <c r="X12" s="53">
        <f>IFERROR(Well[[#This Row],[Column30]]/Well[[#This Row],[Column24]],0)</f>
        <v>0</v>
      </c>
      <c r="Y12" s="238">
        <f>IFERROR(Well[[#This Row],[Column24]]/Well[[#This Row],[Column19]],0)</f>
        <v>0</v>
      </c>
      <c r="Z12" s="9"/>
    </row>
    <row r="13" spans="1:26" s="102" customFormat="1" ht="83.5" customHeight="1" thickBot="1">
      <c r="A13" s="20"/>
      <c r="B13" s="81"/>
      <c r="C13" s="82"/>
      <c r="D13" s="83" t="s">
        <v>59</v>
      </c>
      <c r="E13" s="84"/>
      <c r="F13" s="85"/>
      <c r="G13" s="87"/>
      <c r="H13" s="88"/>
      <c r="I13" s="91">
        <f>SUBTOTAL(109,Well[Column10])</f>
        <v>0</v>
      </c>
      <c r="J13" s="92">
        <f>SUBTOTAL(109,Well[Column11])</f>
        <v>0</v>
      </c>
      <c r="K13" s="92">
        <f>SUBTOTAL(109,Well[Column12])</f>
        <v>0</v>
      </c>
      <c r="L13" s="103">
        <f>IFERROR(Well[[#Totals],[Column11]]/Well[[#Totals],[Column10]],0)</f>
        <v>0</v>
      </c>
      <c r="M13" s="91">
        <f>SUBTOTAL(109,Well[Column15])</f>
        <v>0</v>
      </c>
      <c r="N13" s="89">
        <f>SUBTOTAL(109,Well[Column16])</f>
        <v>0</v>
      </c>
      <c r="O13" s="89">
        <f>SUBTOTAL(109,Well[Column17])</f>
        <v>0</v>
      </c>
      <c r="P13" s="103">
        <f>IFERROR(Well[[#Totals],[Column16]]/Well[[#Totals],[Column15]],0)</f>
        <v>0</v>
      </c>
      <c r="Q13" s="94">
        <f>SUBTOTAL(109,Well[Column19])</f>
        <v>0</v>
      </c>
      <c r="R13" s="95">
        <f>SUBTOTAL(109,Well[Column20])</f>
        <v>0</v>
      </c>
      <c r="S13" s="95">
        <f>SUBTOTAL(109,Well[Column21])</f>
        <v>0</v>
      </c>
      <c r="T13" s="105">
        <f>IFERROR(Well[[#Totals],[Column20]]/Well[[#Totals],[Column19]],0)</f>
        <v>0</v>
      </c>
      <c r="U13" s="97">
        <f>SUBTOTAL(109,Well[Column24])</f>
        <v>0</v>
      </c>
      <c r="V13" s="98">
        <f>SUBTOTAL(109,Well[Column30])</f>
        <v>0</v>
      </c>
      <c r="W13" s="95">
        <f>SUBTOTAL(109,Well[Column29])</f>
        <v>0</v>
      </c>
      <c r="X13" s="108">
        <f>IFERROR(Well[[#Totals],[Column30]]/Well[[#Totals],[Column24]],0)</f>
        <v>0</v>
      </c>
      <c r="Y13" s="100">
        <f>IFERROR(Well[[#Totals],[Column24]]/Well[[#Totals],[Column19]],0)</f>
        <v>0</v>
      </c>
      <c r="Z13" s="101"/>
    </row>
    <row r="14" spans="1:26">
      <c r="A14" s="5" t="s">
        <v>82</v>
      </c>
      <c r="X14" s="1"/>
      <c r="Y14" s="1"/>
    </row>
  </sheetData>
  <sheetProtection formatRows="0" insertRows="0" deleteRows="0"/>
  <mergeCells count="11">
    <mergeCell ref="M7:P7"/>
    <mergeCell ref="Q7:T7"/>
    <mergeCell ref="U7:Z7"/>
    <mergeCell ref="A6:Z6"/>
    <mergeCell ref="A7:A8"/>
    <mergeCell ref="B7:B8"/>
    <mergeCell ref="C7:C8"/>
    <mergeCell ref="D7:F7"/>
    <mergeCell ref="G7:G8"/>
    <mergeCell ref="H7:H8"/>
    <mergeCell ref="I7:L7"/>
  </mergeCells>
  <dataValidations count="1">
    <dataValidation allowBlank="1" showInputMessage="1" showErrorMessage="1" prompt="Please fill in the cell with text" sqref="B9:F12" xr:uid="{95389D09-9239-4E26-9D65-F5A5738F453F}"/>
  </dataValidations>
  <pageMargins left="0.7" right="0.7" top="0.75" bottom="0.75" header="0.3" footer="0.3"/>
  <pageSetup paperSize="9" orientation="portrait" verticalDpi="4294967295"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0096FF514460419F0180AFE588325E" ma:contentTypeVersion="19" ma:contentTypeDescription="Create a new document." ma:contentTypeScope="" ma:versionID="544798b6c20534910014adb22aa4313b">
  <xsd:schema xmlns:xsd="http://www.w3.org/2001/XMLSchema" xmlns:xs="http://www.w3.org/2001/XMLSchema" xmlns:p="http://schemas.microsoft.com/office/2006/metadata/properties" xmlns:ns2="8535df86-e6da-4875-b8d8-328093665827" xmlns:ns3="d71e7f05-3296-44e3-b914-2027843a4b68" targetNamespace="http://schemas.microsoft.com/office/2006/metadata/properties" ma:root="true" ma:fieldsID="3ec299f16dc814b640fdaad2bfb664cb" ns2:_="" ns3:_="">
    <xsd:import namespace="8535df86-e6da-4875-b8d8-328093665827"/>
    <xsd:import namespace="d71e7f05-3296-44e3-b914-2027843a4b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35df86-e6da-4875-b8d8-3280936658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bbcf2ca-7788-4c5a-8d13-3cb70cb111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1e7f05-3296-44e3-b914-2027843a4b6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4814e1d-878b-49c7-98ff-84275b6712b1}" ma:internalName="TaxCatchAll" ma:showField="CatchAllData" ma:web="d71e7f05-3296-44e3-b914-2027843a4b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35df86-e6da-4875-b8d8-328093665827">
      <Terms xmlns="http://schemas.microsoft.com/office/infopath/2007/PartnerControls"/>
    </lcf76f155ced4ddcb4097134ff3c332f>
    <TaxCatchAll xmlns="d71e7f05-3296-44e3-b914-2027843a4b68" xsi:nil="true"/>
  </documentManagement>
</p:properties>
</file>

<file path=customXml/itemProps1.xml><?xml version="1.0" encoding="utf-8"?>
<ds:datastoreItem xmlns:ds="http://schemas.openxmlformats.org/officeDocument/2006/customXml" ds:itemID="{19EAFA63-0F29-4AAE-8B67-2F34AAEC86DB}">
  <ds:schemaRefs>
    <ds:schemaRef ds:uri="http://schemas.microsoft.com/sharepoint/v3/contenttype/forms"/>
  </ds:schemaRefs>
</ds:datastoreItem>
</file>

<file path=customXml/itemProps2.xml><?xml version="1.0" encoding="utf-8"?>
<ds:datastoreItem xmlns:ds="http://schemas.openxmlformats.org/officeDocument/2006/customXml" ds:itemID="{E0B49365-C85E-4252-8D24-124B157E91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35df86-e6da-4875-b8d8-328093665827"/>
    <ds:schemaRef ds:uri="d71e7f05-3296-44e3-b914-2027843a4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C8011E-6A7B-4072-9BEB-1E0AA1D32F37}">
  <ds:schemaRefs>
    <ds:schemaRef ds:uri="http://schemas.microsoft.com/office/2006/metadata/properties"/>
    <ds:schemaRef ds:uri="http://schemas.microsoft.com/office/infopath/2007/PartnerControls"/>
    <ds:schemaRef ds:uri="8535df86-e6da-4875-b8d8-328093665827"/>
    <ds:schemaRef ds:uri="d71e7f05-3296-44e3-b914-2027843a4b6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vt:i4>
      </vt:variant>
    </vt:vector>
  </HeadingPairs>
  <TitlesOfParts>
    <vt:vector size="25" baseType="lpstr">
      <vt:lpstr>NC Schedule</vt:lpstr>
      <vt:lpstr>Plan-NCCC</vt:lpstr>
      <vt:lpstr>Instruction </vt:lpstr>
      <vt:lpstr>Chart</vt:lpstr>
      <vt:lpstr>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'#12'!Print_Area</vt:lpstr>
      <vt:lpstr>'#1'!Print_Titles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Endurance</dc:creator>
  <cp:keywords/>
  <dc:description/>
  <cp:lastModifiedBy>Collins Ifeka</cp:lastModifiedBy>
  <cp:revision/>
  <cp:lastPrinted>2023-10-19T20:40:06Z</cp:lastPrinted>
  <dcterms:created xsi:type="dcterms:W3CDTF">2023-06-05T13:04:52Z</dcterms:created>
  <dcterms:modified xsi:type="dcterms:W3CDTF">2023-12-12T16:42:37Z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0x010100030096FF514460419F0180AFE588325E</vt:lpwstr>
  </property>
  <property fmtid="{D5CDD505-2E9C-101B-9397-08002B2CF9AE}" pid="3" name="MediaServiceImageTags">
    <vt:lpwstr/>
  </property>
</Properties>
</file>