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3.xml" ContentType="application/vnd.openxmlformats-officedocument.drawing+xml"/>
  <Override PartName="/xl/tables/table19.xml" ContentType="application/vnd.openxmlformats-officedocument.spreadsheetml.table+xml"/>
  <Override PartName="/xl/ink/ink1.xml" ContentType="application/inkml+xml"/>
  <Override PartName="/xl/ink/ink2.xml" ContentType="application/inkml+xml"/>
  <Override PartName="/xl/drawings/drawing4.xml" ContentType="application/vnd.openxmlformats-officedocument.drawing+xml"/>
  <Override PartName="/xl/drawings/drawing5.xml" ContentType="application/vnd.openxmlformats-officedocument.drawing+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Users/oluwafemi/Downloads/"/>
    </mc:Choice>
  </mc:AlternateContent>
  <xr:revisionPtr revIDLastSave="0" documentId="8_{F73102F9-F4AD-0A49-A01F-3FA254106A97}" xr6:coauthVersionLast="47" xr6:coauthVersionMax="47" xr10:uidLastSave="{00000000-0000-0000-0000-000000000000}"/>
  <bookViews>
    <workbookView xWindow="0" yWindow="500" windowWidth="28800" windowHeight="16740" tabRatio="692" activeTab="4" xr2:uid="{00000000-000D-0000-FFFF-FFFF00000000}"/>
  </bookViews>
  <sheets>
    <sheet name="NC Schedule" sheetId="39" r:id="rId1"/>
    <sheet name="Plan-NCCC" sheetId="98" r:id="rId2"/>
    <sheet name="Instruction " sheetId="99" r:id="rId3"/>
    <sheet name="Chart" sheetId="103" state="hidden" r:id="rId4"/>
    <sheet name="Summary" sheetId="61" r:id="rId5"/>
    <sheet name="#1" sheetId="41" r:id="rId6"/>
    <sheet name="#2" sheetId="64" r:id="rId7"/>
    <sheet name="#3" sheetId="65" r:id="rId8"/>
    <sheet name="#4" sheetId="66" r:id="rId9"/>
    <sheet name="#5" sheetId="67" r:id="rId10"/>
    <sheet name="#6" sheetId="80" r:id="rId11"/>
    <sheet name="#7" sheetId="82" r:id="rId12"/>
    <sheet name="#8" sheetId="81" r:id="rId13"/>
    <sheet name="#9" sheetId="93" r:id="rId14"/>
    <sheet name="#10" sheetId="83" r:id="rId15"/>
    <sheet name="#11" sheetId="84" r:id="rId16"/>
    <sheet name="#12" sheetId="86" r:id="rId17"/>
    <sheet name="#13" sheetId="90" r:id="rId18"/>
    <sheet name="#14" sheetId="89" r:id="rId19"/>
    <sheet name="#15" sheetId="88" r:id="rId20"/>
    <sheet name="#16" sheetId="87" r:id="rId21"/>
    <sheet name="#17" sheetId="91" r:id="rId22"/>
    <sheet name="#18" sheetId="92" r:id="rId23"/>
  </sheets>
  <definedNames>
    <definedName name="_xlnm.Print_Area" localSheetId="5">'#1'!$A$6:$AI$14</definedName>
    <definedName name="_xlnm.Print_Area" localSheetId="16">'#12'!$A$1:$AI$14</definedName>
    <definedName name="_xlnm.Print_Area" localSheetId="17">'#13'!$A$2:$AI$14</definedName>
    <definedName name="_xlnm.Print_Area" localSheetId="6">'#2'!$A$3:$AI$14</definedName>
    <definedName name="_xlnm.Print_Area" localSheetId="8">'#4'!$A$2:$AI$14</definedName>
    <definedName name="_xlnm.Print_Area" localSheetId="11">'#7'!$A$2:$AI$14</definedName>
    <definedName name="_xlnm.Print_Area" localSheetId="12">'#8'!$A$2:$AI$14</definedName>
    <definedName name="_xlnm.Print_Titles" localSheetId="5">'#1'!$1:$4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7" i="103" l="1"/>
  <c r="O47" i="103" s="1"/>
  <c r="L47" i="103"/>
  <c r="AB45" i="103"/>
  <c r="AA45" i="103"/>
  <c r="Z45" i="103"/>
  <c r="Y45" i="103"/>
  <c r="X45" i="103"/>
  <c r="V45" i="103"/>
  <c r="U45" i="103"/>
  <c r="W45" i="103" s="1"/>
  <c r="T45" i="103"/>
  <c r="R45" i="103"/>
  <c r="Q45" i="103"/>
  <c r="P45" i="103"/>
  <c r="O45" i="103"/>
  <c r="N45" i="103"/>
  <c r="M45" i="103"/>
  <c r="L45" i="103"/>
  <c r="I45" i="103"/>
  <c r="H45" i="103"/>
  <c r="J45" i="103" s="1"/>
  <c r="G45" i="103"/>
  <c r="D45" i="103"/>
  <c r="AB43" i="103"/>
  <c r="Z43" i="103"/>
  <c r="Y43" i="103"/>
  <c r="AA43" i="103" s="1"/>
  <c r="X43" i="103"/>
  <c r="V43" i="103"/>
  <c r="U43" i="103"/>
  <c r="T43" i="103"/>
  <c r="R43" i="103"/>
  <c r="Q43" i="103"/>
  <c r="S43" i="103" s="1"/>
  <c r="P43" i="103"/>
  <c r="N43" i="103"/>
  <c r="M43" i="103"/>
  <c r="O43" i="103" s="1"/>
  <c r="L43" i="103"/>
  <c r="I43" i="103"/>
  <c r="H43" i="103"/>
  <c r="G43" i="103"/>
  <c r="K43" i="103" s="1"/>
  <c r="F43" i="103"/>
  <c r="E43" i="103"/>
  <c r="D43" i="103"/>
  <c r="C43" i="103"/>
  <c r="AB41" i="103"/>
  <c r="Z41" i="103"/>
  <c r="Y41" i="103"/>
  <c r="AA41" i="103" s="1"/>
  <c r="X41" i="103"/>
  <c r="V41" i="103"/>
  <c r="U41" i="103"/>
  <c r="W41" i="103" s="1"/>
  <c r="T41" i="103"/>
  <c r="S41" i="103"/>
  <c r="R41" i="103"/>
  <c r="Q41" i="103"/>
  <c r="P41" i="103"/>
  <c r="N41" i="103"/>
  <c r="M41" i="103"/>
  <c r="O41" i="103" s="1"/>
  <c r="L41" i="103"/>
  <c r="I41" i="103"/>
  <c r="H41" i="103"/>
  <c r="J41" i="103" s="1"/>
  <c r="G41" i="103"/>
  <c r="K41" i="103" s="1"/>
  <c r="F41" i="103"/>
  <c r="E41" i="103"/>
  <c r="D41" i="103"/>
  <c r="C41" i="103"/>
  <c r="AB39" i="103"/>
  <c r="Z39" i="103"/>
  <c r="Y39" i="103"/>
  <c r="X39" i="103"/>
  <c r="V39" i="103"/>
  <c r="U39" i="103"/>
  <c r="W39" i="103" s="1"/>
  <c r="T39" i="103"/>
  <c r="R39" i="103"/>
  <c r="Q39" i="103"/>
  <c r="S39" i="103" s="1"/>
  <c r="P39" i="103"/>
  <c r="N39" i="103"/>
  <c r="M39" i="103"/>
  <c r="L39" i="103"/>
  <c r="K39" i="103"/>
  <c r="I39" i="103"/>
  <c r="H39" i="103"/>
  <c r="J39" i="103" s="1"/>
  <c r="G39" i="103"/>
  <c r="E39" i="103"/>
  <c r="D39" i="103"/>
  <c r="F39" i="103" s="1"/>
  <c r="C39" i="103"/>
  <c r="AB37" i="103"/>
  <c r="Z37" i="103"/>
  <c r="Y37" i="103"/>
  <c r="X37" i="103"/>
  <c r="W37" i="103"/>
  <c r="V37" i="103"/>
  <c r="U37" i="103"/>
  <c r="T37" i="103"/>
  <c r="R37" i="103"/>
  <c r="Q37" i="103"/>
  <c r="S37" i="103" s="1"/>
  <c r="P37" i="103"/>
  <c r="N37" i="103"/>
  <c r="M37" i="103"/>
  <c r="L37" i="103"/>
  <c r="K37" i="103"/>
  <c r="J37" i="103"/>
  <c r="I37" i="103"/>
  <c r="H37" i="103"/>
  <c r="G37" i="103"/>
  <c r="E37" i="103"/>
  <c r="D37" i="103"/>
  <c r="F37" i="103" s="1"/>
  <c r="C37" i="103"/>
  <c r="AB35" i="103"/>
  <c r="Z35" i="103"/>
  <c r="Y35" i="103"/>
  <c r="AA35" i="103" s="1"/>
  <c r="X35" i="103"/>
  <c r="V35" i="103"/>
  <c r="U35" i="103"/>
  <c r="W35" i="103" s="1"/>
  <c r="T35" i="103"/>
  <c r="R35" i="103"/>
  <c r="Q35" i="103"/>
  <c r="P35" i="103"/>
  <c r="N35" i="103"/>
  <c r="M35" i="103"/>
  <c r="O35" i="103" s="1"/>
  <c r="L35" i="103"/>
  <c r="I35" i="103"/>
  <c r="H35" i="103"/>
  <c r="J35" i="103" s="1"/>
  <c r="G35" i="103"/>
  <c r="E35" i="103"/>
  <c r="D35" i="103"/>
  <c r="C35" i="103"/>
  <c r="AB33" i="103"/>
  <c r="AA33" i="103"/>
  <c r="Z33" i="103"/>
  <c r="Y33" i="103"/>
  <c r="X33" i="103"/>
  <c r="V33" i="103"/>
  <c r="U33" i="103"/>
  <c r="W33" i="103" s="1"/>
  <c r="T33" i="103"/>
  <c r="R33" i="103"/>
  <c r="Q33" i="103"/>
  <c r="P33" i="103"/>
  <c r="O33" i="103"/>
  <c r="N33" i="103"/>
  <c r="M33" i="103"/>
  <c r="L33" i="103"/>
  <c r="I33" i="103"/>
  <c r="H33" i="103"/>
  <c r="J33" i="103" s="1"/>
  <c r="G33" i="103"/>
  <c r="F33" i="103"/>
  <c r="E33" i="103"/>
  <c r="D33" i="103"/>
  <c r="C33" i="103"/>
  <c r="AB31" i="103"/>
  <c r="Z31" i="103"/>
  <c r="Y31" i="103"/>
  <c r="AA31" i="103" s="1"/>
  <c r="X31" i="103"/>
  <c r="V31" i="103"/>
  <c r="U31" i="103"/>
  <c r="T31" i="103"/>
  <c r="S31" i="103"/>
  <c r="R31" i="103"/>
  <c r="Q31" i="103"/>
  <c r="P31" i="103"/>
  <c r="N31" i="103"/>
  <c r="M31" i="103"/>
  <c r="O31" i="103" s="1"/>
  <c r="L31" i="103"/>
  <c r="I31" i="103"/>
  <c r="H31" i="103"/>
  <c r="J31" i="103" s="1"/>
  <c r="G31" i="103"/>
  <c r="K31" i="103" s="1"/>
  <c r="E31" i="103"/>
  <c r="D31" i="103"/>
  <c r="F31" i="103" s="1"/>
  <c r="C31" i="103"/>
  <c r="AB29" i="103"/>
  <c r="Z29" i="103"/>
  <c r="Y29" i="103"/>
  <c r="AA29" i="103" s="1"/>
  <c r="X29" i="103"/>
  <c r="V29" i="103"/>
  <c r="U29" i="103"/>
  <c r="T29" i="103"/>
  <c r="S29" i="103"/>
  <c r="R29" i="103"/>
  <c r="Q29" i="103"/>
  <c r="P29" i="103"/>
  <c r="N29" i="103"/>
  <c r="M29" i="103"/>
  <c r="O29" i="103" s="1"/>
  <c r="L29" i="103"/>
  <c r="I29" i="103"/>
  <c r="H29" i="103"/>
  <c r="J29" i="103" s="1"/>
  <c r="G29" i="103"/>
  <c r="K29" i="103" s="1"/>
  <c r="F29" i="103"/>
  <c r="E29" i="103"/>
  <c r="D29" i="103"/>
  <c r="C29" i="103"/>
  <c r="AB27" i="103"/>
  <c r="AA27" i="103"/>
  <c r="Z27" i="103"/>
  <c r="Y27" i="103"/>
  <c r="X27" i="103"/>
  <c r="V27" i="103"/>
  <c r="U27" i="103"/>
  <c r="W27" i="103" s="1"/>
  <c r="T27" i="103"/>
  <c r="R27" i="103"/>
  <c r="Q27" i="103"/>
  <c r="S27" i="103" s="1"/>
  <c r="P27" i="103"/>
  <c r="N27" i="103"/>
  <c r="M27" i="103"/>
  <c r="O27" i="103" s="1"/>
  <c r="L27" i="103"/>
  <c r="K27" i="103"/>
  <c r="I27" i="103"/>
  <c r="H27" i="103"/>
  <c r="J27" i="103" s="1"/>
  <c r="G27" i="103"/>
  <c r="E27" i="103"/>
  <c r="D27" i="103"/>
  <c r="F27" i="103" s="1"/>
  <c r="C27" i="103"/>
  <c r="AB25" i="103"/>
  <c r="Z25" i="103"/>
  <c r="Y25" i="103"/>
  <c r="AA25" i="103" s="1"/>
  <c r="X25" i="103"/>
  <c r="W25" i="103"/>
  <c r="V25" i="103"/>
  <c r="U25" i="103"/>
  <c r="T25" i="103"/>
  <c r="R25" i="103"/>
  <c r="Q25" i="103"/>
  <c r="S25" i="103" s="1"/>
  <c r="P25" i="103"/>
  <c r="N25" i="103"/>
  <c r="M25" i="103"/>
  <c r="L25" i="103"/>
  <c r="J25" i="103"/>
  <c r="I25" i="103"/>
  <c r="H25" i="103"/>
  <c r="G25" i="103"/>
  <c r="E25" i="103"/>
  <c r="D25" i="103"/>
  <c r="C25" i="103"/>
  <c r="K25" i="103" s="1"/>
  <c r="AB23" i="103"/>
  <c r="Z23" i="103"/>
  <c r="Y23" i="103"/>
  <c r="AA23" i="103" s="1"/>
  <c r="X23" i="103"/>
  <c r="V23" i="103"/>
  <c r="U23" i="103"/>
  <c r="W23" i="103" s="1"/>
  <c r="T23" i="103"/>
  <c r="R23" i="103"/>
  <c r="Q23" i="103"/>
  <c r="P23" i="103"/>
  <c r="O23" i="103"/>
  <c r="N23" i="103"/>
  <c r="M23" i="103"/>
  <c r="L23" i="103"/>
  <c r="I23" i="103"/>
  <c r="H23" i="103"/>
  <c r="J23" i="103" s="1"/>
  <c r="G23" i="103"/>
  <c r="E23" i="103"/>
  <c r="D23" i="103"/>
  <c r="C23" i="103"/>
  <c r="AB21" i="103"/>
  <c r="AA21" i="103"/>
  <c r="Z21" i="103"/>
  <c r="Y21" i="103"/>
  <c r="X21" i="103"/>
  <c r="V21" i="103"/>
  <c r="U21" i="103"/>
  <c r="W21" i="103" s="1"/>
  <c r="T21" i="103"/>
  <c r="R21" i="103"/>
  <c r="Q21" i="103"/>
  <c r="S21" i="103" s="1"/>
  <c r="P21" i="103"/>
  <c r="O21" i="103"/>
  <c r="N21" i="103"/>
  <c r="M21" i="103"/>
  <c r="L21" i="103"/>
  <c r="I21" i="103"/>
  <c r="H21" i="103"/>
  <c r="G21" i="103"/>
  <c r="E21" i="103"/>
  <c r="D21" i="103"/>
  <c r="C21" i="103"/>
  <c r="F21" i="103" s="1"/>
  <c r="AB19" i="103"/>
  <c r="AA19" i="103"/>
  <c r="Z19" i="103"/>
  <c r="Y19" i="103"/>
  <c r="X19" i="103"/>
  <c r="V19" i="103"/>
  <c r="U19" i="103"/>
  <c r="T19" i="103"/>
  <c r="R19" i="103"/>
  <c r="Q19" i="103"/>
  <c r="P19" i="103"/>
  <c r="S19" i="103" s="1"/>
  <c r="N19" i="103"/>
  <c r="M19" i="103"/>
  <c r="O19" i="103" s="1"/>
  <c r="L19" i="103"/>
  <c r="I19" i="103"/>
  <c r="H19" i="103"/>
  <c r="J19" i="103" s="1"/>
  <c r="G19" i="103"/>
  <c r="K19" i="103" s="1"/>
  <c r="E19" i="103"/>
  <c r="D19" i="103"/>
  <c r="F19" i="103" s="1"/>
  <c r="C19" i="103"/>
  <c r="AB17" i="103"/>
  <c r="Z17" i="103"/>
  <c r="Y17" i="103"/>
  <c r="AA17" i="103" s="1"/>
  <c r="X17" i="103"/>
  <c r="W17" i="103"/>
  <c r="V17" i="103"/>
  <c r="U17" i="103"/>
  <c r="T17" i="103"/>
  <c r="S17" i="103"/>
  <c r="R17" i="103"/>
  <c r="Q17" i="103"/>
  <c r="P17" i="103"/>
  <c r="N17" i="103"/>
  <c r="M17" i="103"/>
  <c r="O17" i="103" s="1"/>
  <c r="L17" i="103"/>
  <c r="K17" i="103"/>
  <c r="J17" i="103"/>
  <c r="I17" i="103"/>
  <c r="H17" i="103"/>
  <c r="G17" i="103"/>
  <c r="F17" i="103"/>
  <c r="E17" i="103"/>
  <c r="D17" i="103"/>
  <c r="C17" i="103"/>
  <c r="AB15" i="103"/>
  <c r="Z15" i="103"/>
  <c r="Y15" i="103"/>
  <c r="X15" i="103"/>
  <c r="W15" i="103"/>
  <c r="V15" i="103"/>
  <c r="U15" i="103"/>
  <c r="T15" i="103"/>
  <c r="R15" i="103"/>
  <c r="Q15" i="103"/>
  <c r="S15" i="103" s="1"/>
  <c r="P15" i="103"/>
  <c r="N15" i="103"/>
  <c r="M15" i="103"/>
  <c r="L15" i="103"/>
  <c r="K15" i="103"/>
  <c r="I15" i="103"/>
  <c r="H15" i="103"/>
  <c r="J15" i="103" s="1"/>
  <c r="G15" i="103"/>
  <c r="E15" i="103"/>
  <c r="D15" i="103"/>
  <c r="F15" i="103" s="1"/>
  <c r="C15" i="103"/>
  <c r="AB13" i="103"/>
  <c r="Z13" i="103"/>
  <c r="Y13" i="103"/>
  <c r="AA13" i="103" s="1"/>
  <c r="X13" i="103"/>
  <c r="W13" i="103"/>
  <c r="V13" i="103"/>
  <c r="U13" i="103"/>
  <c r="T13" i="103"/>
  <c r="R13" i="103"/>
  <c r="Q13" i="103"/>
  <c r="S13" i="103" s="1"/>
  <c r="P13" i="103"/>
  <c r="N13" i="103"/>
  <c r="M13" i="103"/>
  <c r="L13" i="103"/>
  <c r="O13" i="103" s="1"/>
  <c r="K13" i="103"/>
  <c r="J13" i="103"/>
  <c r="I13" i="103"/>
  <c r="H13" i="103"/>
  <c r="G13" i="103"/>
  <c r="E13" i="103"/>
  <c r="D13" i="103"/>
  <c r="C13" i="103"/>
  <c r="AB11" i="103"/>
  <c r="Z11" i="103"/>
  <c r="Z47" i="103" s="1"/>
  <c r="Y11" i="103"/>
  <c r="Y47" i="103" s="1"/>
  <c r="X11" i="103"/>
  <c r="X47" i="103" s="1"/>
  <c r="AB47" i="103" s="1"/>
  <c r="V11" i="103"/>
  <c r="U11" i="103"/>
  <c r="W11" i="103" s="1"/>
  <c r="T11" i="103"/>
  <c r="T47" i="103" s="1"/>
  <c r="R11" i="103"/>
  <c r="Q11" i="103"/>
  <c r="P11" i="103"/>
  <c r="P47" i="103" s="1"/>
  <c r="O11" i="103"/>
  <c r="N11" i="103"/>
  <c r="N47" i="103" s="1"/>
  <c r="M11" i="103"/>
  <c r="L11" i="103"/>
  <c r="I11" i="103"/>
  <c r="H11" i="103"/>
  <c r="J11" i="103" s="1"/>
  <c r="G11" i="103"/>
  <c r="K11" i="103" s="1"/>
  <c r="E11" i="103"/>
  <c r="D11" i="103"/>
  <c r="F11" i="103" s="1"/>
  <c r="C11" i="103"/>
  <c r="I6" i="103"/>
  <c r="I5" i="103"/>
  <c r="I4" i="103"/>
  <c r="E4" i="103"/>
  <c r="I3" i="103"/>
  <c r="E3" i="103"/>
  <c r="I2" i="103"/>
  <c r="E2" i="103"/>
  <c r="O9" i="41"/>
  <c r="AA47" i="103" l="1"/>
  <c r="V47" i="103"/>
  <c r="S45" i="103"/>
  <c r="I47" i="103"/>
  <c r="F23" i="103"/>
  <c r="S33" i="103"/>
  <c r="AA39" i="103"/>
  <c r="O15" i="103"/>
  <c r="K35" i="103"/>
  <c r="AA11" i="103"/>
  <c r="K23" i="103"/>
  <c r="AA37" i="103"/>
  <c r="O39" i="103"/>
  <c r="F25" i="103"/>
  <c r="W29" i="103"/>
  <c r="S35" i="103"/>
  <c r="D47" i="103"/>
  <c r="AA15" i="103"/>
  <c r="F35" i="103"/>
  <c r="K21" i="103"/>
  <c r="K33" i="103"/>
  <c r="O37" i="103"/>
  <c r="W43" i="103"/>
  <c r="F13" i="103"/>
  <c r="J21" i="103"/>
  <c r="O25" i="103"/>
  <c r="S11" i="103"/>
  <c r="Q47" i="103"/>
  <c r="S47" i="103" s="1"/>
  <c r="W31" i="103"/>
  <c r="J43" i="103"/>
  <c r="S23" i="103"/>
  <c r="W19" i="103"/>
  <c r="R47" i="103"/>
  <c r="G47" i="103"/>
  <c r="H47" i="103"/>
  <c r="U47" i="103"/>
  <c r="W47" i="103" s="1"/>
  <c r="Q12" i="92"/>
  <c r="Q11" i="92"/>
  <c r="Q10" i="92"/>
  <c r="Q9" i="92"/>
  <c r="Q12" i="91"/>
  <c r="Q11" i="91"/>
  <c r="Q10" i="91"/>
  <c r="Q9" i="91"/>
  <c r="Q12" i="87"/>
  <c r="Q11" i="87"/>
  <c r="Q10" i="87"/>
  <c r="Q9" i="87"/>
  <c r="Q12" i="88"/>
  <c r="Q11" i="88"/>
  <c r="Q10" i="88"/>
  <c r="Q9" i="88"/>
  <c r="Q12" i="89"/>
  <c r="Q11" i="89"/>
  <c r="Q10" i="89"/>
  <c r="Q9" i="89"/>
  <c r="Q12" i="90"/>
  <c r="Q11" i="90"/>
  <c r="Q10" i="90"/>
  <c r="Q9" i="90"/>
  <c r="Q12" i="86"/>
  <c r="Q11" i="86"/>
  <c r="Q10" i="86"/>
  <c r="Q9" i="86"/>
  <c r="Q9" i="84"/>
  <c r="Q12" i="84"/>
  <c r="Q11" i="84"/>
  <c r="Q10" i="84"/>
  <c r="Q12" i="83"/>
  <c r="Q11" i="83"/>
  <c r="Q10" i="83"/>
  <c r="Q9" i="83"/>
  <c r="Q12" i="93"/>
  <c r="Q11" i="93"/>
  <c r="Q10" i="93"/>
  <c r="Q9" i="93"/>
  <c r="Q12" i="81"/>
  <c r="Q11" i="81"/>
  <c r="Q10" i="81"/>
  <c r="Q9" i="81"/>
  <c r="Q12" i="82"/>
  <c r="Q11" i="82"/>
  <c r="Q10" i="82"/>
  <c r="Q9" i="82"/>
  <c r="Q12" i="80"/>
  <c r="Q11" i="80"/>
  <c r="Q10" i="80"/>
  <c r="Q9" i="80"/>
  <c r="Q12" i="67"/>
  <c r="Q11" i="67"/>
  <c r="Q10" i="67"/>
  <c r="Q9" i="67"/>
  <c r="Q12" i="66"/>
  <c r="Q11" i="66"/>
  <c r="Q10" i="66"/>
  <c r="Q9" i="66"/>
  <c r="Q12" i="65"/>
  <c r="Q11" i="65"/>
  <c r="Q10" i="65"/>
  <c r="Q9" i="65"/>
  <c r="Y12" i="64"/>
  <c r="Y10" i="64"/>
  <c r="Q9" i="64"/>
  <c r="U11" i="64"/>
  <c r="Y9" i="41"/>
  <c r="Q11" i="41"/>
  <c r="Q9" i="41"/>
  <c r="P9" i="41"/>
  <c r="T11" i="41"/>
  <c r="P11" i="41"/>
  <c r="Q10" i="41"/>
  <c r="Q12" i="64"/>
  <c r="Q11" i="64"/>
  <c r="Q10" i="64"/>
  <c r="P12" i="64"/>
  <c r="P11" i="64"/>
  <c r="P10" i="64"/>
  <c r="P9" i="64"/>
  <c r="P10" i="41"/>
  <c r="L9" i="41"/>
  <c r="U9" i="41"/>
  <c r="T9" i="41"/>
  <c r="K9" i="41"/>
  <c r="Q12" i="41"/>
  <c r="P12" i="41"/>
  <c r="S13" i="98"/>
  <c r="S14" i="98"/>
  <c r="S15" i="98"/>
  <c r="S16" i="98"/>
  <c r="S12" i="98"/>
  <c r="K105" i="98"/>
  <c r="L105" i="98"/>
  <c r="O105" i="98"/>
  <c r="P105" i="98"/>
  <c r="S105" i="98"/>
  <c r="K133" i="98"/>
  <c r="K114" i="98"/>
  <c r="O104" i="98"/>
  <c r="K41" i="98"/>
  <c r="K42" i="98"/>
  <c r="K43" i="98"/>
  <c r="K44" i="98"/>
  <c r="O34" i="98"/>
  <c r="O35" i="98"/>
  <c r="O36" i="98"/>
  <c r="O37" i="98"/>
  <c r="K34" i="98"/>
  <c r="K35" i="98"/>
  <c r="K36" i="98"/>
  <c r="K37" i="98"/>
  <c r="S27" i="98"/>
  <c r="S28" i="98"/>
  <c r="S29" i="98"/>
  <c r="S30" i="98"/>
  <c r="O27" i="98"/>
  <c r="O28" i="98"/>
  <c r="O29" i="98"/>
  <c r="O30" i="98"/>
  <c r="K27" i="98"/>
  <c r="K28" i="98"/>
  <c r="K29" i="98"/>
  <c r="K30" i="98"/>
  <c r="S23" i="98"/>
  <c r="S20" i="98"/>
  <c r="S21" i="98"/>
  <c r="S22" i="98"/>
  <c r="O23" i="98"/>
  <c r="O20" i="98"/>
  <c r="O21" i="98"/>
  <c r="O22" i="98"/>
  <c r="O13" i="98"/>
  <c r="O14" i="98"/>
  <c r="O15" i="98"/>
  <c r="O16" i="98"/>
  <c r="I6" i="61"/>
  <c r="I5" i="61"/>
  <c r="I4" i="61"/>
  <c r="I3" i="61"/>
  <c r="I2" i="61"/>
  <c r="E4" i="61"/>
  <c r="E3" i="61"/>
  <c r="E2" i="61"/>
  <c r="E6" i="99"/>
  <c r="E5" i="99"/>
  <c r="E4" i="99"/>
  <c r="E3" i="99"/>
  <c r="E2" i="99"/>
  <c r="C4" i="99"/>
  <c r="C3" i="99"/>
  <c r="C2" i="99"/>
  <c r="E4" i="41"/>
  <c r="E4" i="64" s="1"/>
  <c r="E4" i="84" s="1"/>
  <c r="E3" i="41"/>
  <c r="E3" i="64" s="1"/>
  <c r="E3" i="88" s="1"/>
  <c r="E2" i="41"/>
  <c r="E2" i="64" s="1"/>
  <c r="E2" i="66" s="1"/>
  <c r="C4" i="41"/>
  <c r="C4" i="86" s="1"/>
  <c r="C3" i="41"/>
  <c r="C3" i="89" s="1"/>
  <c r="C2" i="41"/>
  <c r="C2" i="90" s="1"/>
  <c r="L10" i="82"/>
  <c r="X10" i="41"/>
  <c r="K12" i="98"/>
  <c r="O10" i="41"/>
  <c r="L10" i="67"/>
  <c r="AG9" i="41"/>
  <c r="AB9" i="41"/>
  <c r="L10" i="64"/>
  <c r="K13" i="98"/>
  <c r="O133" i="98"/>
  <c r="O134" i="98"/>
  <c r="O135" i="98"/>
  <c r="O136" i="98"/>
  <c r="O132" i="98"/>
  <c r="O126" i="98"/>
  <c r="O127" i="98"/>
  <c r="O128" i="98"/>
  <c r="O129" i="98"/>
  <c r="O125" i="98"/>
  <c r="O119" i="98"/>
  <c r="O120" i="98"/>
  <c r="O121" i="98"/>
  <c r="O122" i="98"/>
  <c r="O118" i="98"/>
  <c r="O112" i="98"/>
  <c r="O113" i="98"/>
  <c r="O114" i="98"/>
  <c r="O115" i="98"/>
  <c r="O111" i="98"/>
  <c r="O106" i="98"/>
  <c r="O107" i="98"/>
  <c r="O108" i="98"/>
  <c r="O103" i="98"/>
  <c r="O97" i="98"/>
  <c r="O98" i="98"/>
  <c r="O99" i="98"/>
  <c r="O100" i="98"/>
  <c r="O96" i="98"/>
  <c r="K103" i="98"/>
  <c r="R101" i="98"/>
  <c r="Q101" i="98"/>
  <c r="M101" i="98"/>
  <c r="N101" i="98"/>
  <c r="I101" i="98"/>
  <c r="J101" i="98"/>
  <c r="O90" i="98"/>
  <c r="O91" i="98"/>
  <c r="O92" i="98"/>
  <c r="O93" i="98"/>
  <c r="O89" i="98"/>
  <c r="O83" i="98"/>
  <c r="O84" i="98"/>
  <c r="O85" i="98"/>
  <c r="O86" i="98"/>
  <c r="O82" i="98"/>
  <c r="O76" i="98"/>
  <c r="O77" i="98"/>
  <c r="O78" i="98"/>
  <c r="O79" i="98"/>
  <c r="O75" i="98"/>
  <c r="O69" i="98"/>
  <c r="O70" i="98"/>
  <c r="O71" i="98"/>
  <c r="O72" i="98"/>
  <c r="O68" i="98"/>
  <c r="O62" i="98"/>
  <c r="O63" i="98"/>
  <c r="O64" i="98"/>
  <c r="O65" i="98"/>
  <c r="O61" i="98"/>
  <c r="O55" i="98"/>
  <c r="O56" i="98"/>
  <c r="O57" i="98"/>
  <c r="O58" i="98"/>
  <c r="O54" i="98"/>
  <c r="O48" i="98"/>
  <c r="O49" i="98"/>
  <c r="O50" i="98"/>
  <c r="O51" i="98"/>
  <c r="O47" i="98"/>
  <c r="O41" i="98"/>
  <c r="O42" i="98"/>
  <c r="O43" i="98"/>
  <c r="O44" i="98"/>
  <c r="O40" i="98"/>
  <c r="O33" i="98"/>
  <c r="O26" i="98"/>
  <c r="O19" i="98"/>
  <c r="O12" i="98"/>
  <c r="S133" i="98"/>
  <c r="S134" i="98"/>
  <c r="S135" i="98"/>
  <c r="S136" i="98"/>
  <c r="S132" i="98"/>
  <c r="K134" i="98"/>
  <c r="K135" i="98"/>
  <c r="K136" i="98"/>
  <c r="K132" i="98"/>
  <c r="S126" i="98"/>
  <c r="S127" i="98"/>
  <c r="S128" i="98"/>
  <c r="S129" i="98"/>
  <c r="S125" i="98"/>
  <c r="K126" i="98"/>
  <c r="K127" i="98"/>
  <c r="K128" i="98"/>
  <c r="K129" i="98"/>
  <c r="K125" i="98"/>
  <c r="S119" i="98"/>
  <c r="S120" i="98"/>
  <c r="S121" i="98"/>
  <c r="S122" i="98"/>
  <c r="S118" i="98"/>
  <c r="K119" i="98"/>
  <c r="K120" i="98"/>
  <c r="K121" i="98"/>
  <c r="K122" i="98"/>
  <c r="K118" i="98"/>
  <c r="S112" i="98"/>
  <c r="S113" i="98"/>
  <c r="S114" i="98"/>
  <c r="S115" i="98"/>
  <c r="S111" i="98"/>
  <c r="K112" i="98"/>
  <c r="K113" i="98"/>
  <c r="K115" i="98"/>
  <c r="K111" i="98"/>
  <c r="S104" i="98"/>
  <c r="S106" i="98"/>
  <c r="S107" i="98"/>
  <c r="S108" i="98"/>
  <c r="S103" i="98"/>
  <c r="K104" i="98"/>
  <c r="K106" i="98"/>
  <c r="K107" i="98"/>
  <c r="K108" i="98"/>
  <c r="S97" i="98"/>
  <c r="S98" i="98"/>
  <c r="S99" i="98"/>
  <c r="S100" i="98"/>
  <c r="S96" i="98"/>
  <c r="K97" i="98"/>
  <c r="K98" i="98"/>
  <c r="K99" i="98"/>
  <c r="K100" i="98"/>
  <c r="K96" i="98"/>
  <c r="S90" i="98"/>
  <c r="S91" i="98"/>
  <c r="S92" i="98"/>
  <c r="S93" i="98"/>
  <c r="S89" i="98"/>
  <c r="K90" i="98"/>
  <c r="K91" i="98"/>
  <c r="K92" i="98"/>
  <c r="K93" i="98"/>
  <c r="K89" i="98"/>
  <c r="S83" i="98"/>
  <c r="S84" i="98"/>
  <c r="S85" i="98"/>
  <c r="S86" i="98"/>
  <c r="S82" i="98"/>
  <c r="K83" i="98"/>
  <c r="K84" i="98"/>
  <c r="K85" i="98"/>
  <c r="K86" i="98"/>
  <c r="K82" i="98"/>
  <c r="S76" i="98"/>
  <c r="S77" i="98"/>
  <c r="S78" i="98"/>
  <c r="S79" i="98"/>
  <c r="S75" i="98"/>
  <c r="K76" i="98"/>
  <c r="K77" i="98"/>
  <c r="K78" i="98"/>
  <c r="K79" i="98"/>
  <c r="K75" i="98"/>
  <c r="S69" i="98"/>
  <c r="S70" i="98"/>
  <c r="S71" i="98"/>
  <c r="S72" i="98"/>
  <c r="S68" i="98"/>
  <c r="K69" i="98"/>
  <c r="K70" i="98"/>
  <c r="K71" i="98"/>
  <c r="K72" i="98"/>
  <c r="K68" i="98"/>
  <c r="S62" i="98"/>
  <c r="S63" i="98"/>
  <c r="S64" i="98"/>
  <c r="S65" i="98"/>
  <c r="S61" i="98"/>
  <c r="K62" i="98"/>
  <c r="K63" i="98"/>
  <c r="K64" i="98"/>
  <c r="K65" i="98"/>
  <c r="K61" i="98"/>
  <c r="S55" i="98"/>
  <c r="S56" i="98"/>
  <c r="S57" i="98"/>
  <c r="S58" i="98"/>
  <c r="S54" i="98"/>
  <c r="K55" i="98"/>
  <c r="K56" i="98"/>
  <c r="K57" i="98"/>
  <c r="K58" i="98"/>
  <c r="K54" i="98"/>
  <c r="S48" i="98"/>
  <c r="S49" i="98"/>
  <c r="S50" i="98"/>
  <c r="S51" i="98"/>
  <c r="S47" i="98"/>
  <c r="K48" i="98"/>
  <c r="K49" i="98"/>
  <c r="K50" i="98"/>
  <c r="K51" i="98"/>
  <c r="K47" i="98"/>
  <c r="S41" i="98"/>
  <c r="S42" i="98"/>
  <c r="S43" i="98"/>
  <c r="S44" i="98"/>
  <c r="S40" i="98"/>
  <c r="K40" i="98"/>
  <c r="K33" i="98"/>
  <c r="S26" i="98"/>
  <c r="K26" i="98"/>
  <c r="S19" i="98"/>
  <c r="K20" i="98"/>
  <c r="K21" i="98"/>
  <c r="K22" i="98"/>
  <c r="K23" i="98"/>
  <c r="K19" i="98"/>
  <c r="K14" i="98"/>
  <c r="K15" i="98"/>
  <c r="K16" i="98"/>
  <c r="O10" i="64"/>
  <c r="T9" i="65"/>
  <c r="AF9" i="65"/>
  <c r="AB11" i="67"/>
  <c r="R13" i="83"/>
  <c r="K10" i="41"/>
  <c r="AC12" i="80"/>
  <c r="AB9" i="80"/>
  <c r="X9" i="41"/>
  <c r="T10" i="41"/>
  <c r="K9" i="81"/>
  <c r="K9" i="64"/>
  <c r="L9" i="64"/>
  <c r="O9" i="64"/>
  <c r="T9" i="64"/>
  <c r="U9" i="64"/>
  <c r="K10" i="64"/>
  <c r="T10" i="64"/>
  <c r="U10" i="64"/>
  <c r="AH12" i="92"/>
  <c r="AH11" i="92"/>
  <c r="AH10" i="92"/>
  <c r="AH9" i="92"/>
  <c r="K10" i="81"/>
  <c r="K11" i="81"/>
  <c r="K12" i="81"/>
  <c r="I13" i="83"/>
  <c r="AF10" i="92"/>
  <c r="AF11" i="92"/>
  <c r="AF12" i="92"/>
  <c r="AF9" i="92"/>
  <c r="AB10" i="92"/>
  <c r="AB11" i="92"/>
  <c r="AB12" i="92"/>
  <c r="AB9" i="92"/>
  <c r="X10" i="92"/>
  <c r="X11" i="92"/>
  <c r="X12" i="92"/>
  <c r="X9" i="92"/>
  <c r="X13" i="92" s="1"/>
  <c r="T10" i="92"/>
  <c r="T11" i="92"/>
  <c r="T12" i="92"/>
  <c r="T9" i="92"/>
  <c r="O10" i="92"/>
  <c r="O11" i="92"/>
  <c r="O12" i="92"/>
  <c r="O9" i="92"/>
  <c r="K10" i="92"/>
  <c r="K11" i="92"/>
  <c r="K12" i="92"/>
  <c r="K9" i="92"/>
  <c r="AF10" i="91"/>
  <c r="AF11" i="91"/>
  <c r="AF12" i="91"/>
  <c r="AF9" i="91"/>
  <c r="AB10" i="91"/>
  <c r="AB11" i="91"/>
  <c r="AB12" i="91"/>
  <c r="AB9" i="91"/>
  <c r="X10" i="91"/>
  <c r="X11" i="91"/>
  <c r="X12" i="91"/>
  <c r="X9" i="91"/>
  <c r="X13" i="91" s="1"/>
  <c r="T10" i="91"/>
  <c r="T11" i="91"/>
  <c r="T12" i="91"/>
  <c r="T9" i="91"/>
  <c r="O10" i="91"/>
  <c r="O11" i="91"/>
  <c r="O12" i="91"/>
  <c r="O9" i="91"/>
  <c r="K10" i="91"/>
  <c r="K11" i="91"/>
  <c r="K12" i="91"/>
  <c r="K9" i="91"/>
  <c r="AF10" i="87"/>
  <c r="AF11" i="87"/>
  <c r="AF12" i="87"/>
  <c r="AF9" i="87"/>
  <c r="AB10" i="87"/>
  <c r="AB11" i="87"/>
  <c r="AB12" i="87"/>
  <c r="AB9" i="87"/>
  <c r="X10" i="87"/>
  <c r="X11" i="87"/>
  <c r="X12" i="87"/>
  <c r="X9" i="87"/>
  <c r="T10" i="87"/>
  <c r="T11" i="87"/>
  <c r="T12" i="87"/>
  <c r="T9" i="87"/>
  <c r="O10" i="87"/>
  <c r="O11" i="87"/>
  <c r="O12" i="87"/>
  <c r="O9" i="87"/>
  <c r="K10" i="87"/>
  <c r="K11" i="87"/>
  <c r="K12" i="87"/>
  <c r="K9" i="87"/>
  <c r="AF10" i="88"/>
  <c r="AF11" i="88"/>
  <c r="AF12" i="88"/>
  <c r="AF9" i="88"/>
  <c r="AB10" i="88"/>
  <c r="AB11" i="88"/>
  <c r="AB12" i="88"/>
  <c r="AB9" i="88"/>
  <c r="X10" i="88"/>
  <c r="X11" i="88"/>
  <c r="X12" i="88"/>
  <c r="X9" i="88"/>
  <c r="T10" i="88"/>
  <c r="T11" i="88"/>
  <c r="T12" i="88"/>
  <c r="T9" i="88"/>
  <c r="O10" i="88"/>
  <c r="O11" i="88"/>
  <c r="O12" i="88"/>
  <c r="O9" i="88"/>
  <c r="O13" i="88" s="1"/>
  <c r="I39" i="61" s="1"/>
  <c r="K10" i="88"/>
  <c r="K11" i="88"/>
  <c r="K12" i="88"/>
  <c r="K9" i="88"/>
  <c r="K13" i="88" s="1"/>
  <c r="AF10" i="89"/>
  <c r="AF11" i="89"/>
  <c r="AF12" i="89"/>
  <c r="AF9" i="89"/>
  <c r="AB10" i="89"/>
  <c r="AB11" i="89"/>
  <c r="AB12" i="89"/>
  <c r="AB9" i="89"/>
  <c r="X10" i="89"/>
  <c r="X11" i="89"/>
  <c r="X12" i="89"/>
  <c r="X9" i="89"/>
  <c r="T10" i="89"/>
  <c r="T11" i="89"/>
  <c r="T12" i="89"/>
  <c r="T9" i="89"/>
  <c r="O10" i="89"/>
  <c r="O11" i="89"/>
  <c r="O12" i="89"/>
  <c r="O9" i="89"/>
  <c r="K10" i="89"/>
  <c r="K11" i="89"/>
  <c r="K12" i="89"/>
  <c r="K9" i="89"/>
  <c r="AF10" i="90"/>
  <c r="AF11" i="90"/>
  <c r="AF12" i="90"/>
  <c r="AF9" i="90"/>
  <c r="AB10" i="90"/>
  <c r="AB11" i="90"/>
  <c r="AB12" i="90"/>
  <c r="AB9" i="90"/>
  <c r="X10" i="90"/>
  <c r="X11" i="90"/>
  <c r="X12" i="90"/>
  <c r="X9" i="90"/>
  <c r="T10" i="90"/>
  <c r="T11" i="90"/>
  <c r="T12" i="90"/>
  <c r="T9" i="90"/>
  <c r="O10" i="90"/>
  <c r="O11" i="90"/>
  <c r="O12" i="90"/>
  <c r="O9" i="90"/>
  <c r="K10" i="90"/>
  <c r="K11" i="90"/>
  <c r="K12" i="90"/>
  <c r="K9" i="90"/>
  <c r="AF10" i="86"/>
  <c r="AF11" i="86"/>
  <c r="AF12" i="86"/>
  <c r="AF9" i="86"/>
  <c r="AB10" i="86"/>
  <c r="AB11" i="86"/>
  <c r="AB12" i="86"/>
  <c r="AB9" i="86"/>
  <c r="X10" i="86"/>
  <c r="X11" i="86"/>
  <c r="X12" i="86"/>
  <c r="X9" i="86"/>
  <c r="X13" i="86" s="1"/>
  <c r="T10" i="86"/>
  <c r="T11" i="86"/>
  <c r="T12" i="86"/>
  <c r="T9" i="86"/>
  <c r="O10" i="86"/>
  <c r="O11" i="86"/>
  <c r="O12" i="86"/>
  <c r="O9" i="86"/>
  <c r="K10" i="86"/>
  <c r="K11" i="86"/>
  <c r="K12" i="86"/>
  <c r="K9" i="86"/>
  <c r="AF10" i="84"/>
  <c r="AF11" i="84"/>
  <c r="AF12" i="84"/>
  <c r="AF9" i="84"/>
  <c r="AB11" i="84"/>
  <c r="AB12" i="84"/>
  <c r="AB9" i="84"/>
  <c r="AB13" i="84" s="1"/>
  <c r="V31" i="61" s="1"/>
  <c r="AB10" i="84"/>
  <c r="X10" i="84"/>
  <c r="X11" i="84"/>
  <c r="X9" i="84"/>
  <c r="T10" i="84"/>
  <c r="T11" i="84"/>
  <c r="T12" i="84"/>
  <c r="T9" i="84"/>
  <c r="O10" i="84"/>
  <c r="O11" i="84"/>
  <c r="O12" i="84"/>
  <c r="O9" i="84"/>
  <c r="K10" i="84"/>
  <c r="K11" i="84"/>
  <c r="K12" i="84"/>
  <c r="K9" i="84"/>
  <c r="AB10" i="83"/>
  <c r="AB11" i="83"/>
  <c r="AB12" i="83"/>
  <c r="AB9" i="83"/>
  <c r="AF10" i="83"/>
  <c r="AF11" i="83"/>
  <c r="AF12" i="83"/>
  <c r="AF9" i="83"/>
  <c r="X10" i="83"/>
  <c r="X11" i="83"/>
  <c r="X12" i="83"/>
  <c r="X9" i="83"/>
  <c r="T10" i="83"/>
  <c r="T11" i="83"/>
  <c r="T12" i="83"/>
  <c r="T9" i="83"/>
  <c r="O10" i="83"/>
  <c r="O11" i="83"/>
  <c r="O12" i="83"/>
  <c r="O9" i="83"/>
  <c r="K10" i="83"/>
  <c r="K11" i="83"/>
  <c r="K12" i="83"/>
  <c r="K9" i="83"/>
  <c r="AF10" i="93"/>
  <c r="AF11" i="93"/>
  <c r="AF12" i="93"/>
  <c r="AF9" i="93"/>
  <c r="AB10" i="93"/>
  <c r="AB11" i="93"/>
  <c r="AB12" i="93"/>
  <c r="AB9" i="93"/>
  <c r="X10" i="93"/>
  <c r="X11" i="93"/>
  <c r="X12" i="93"/>
  <c r="X9" i="93"/>
  <c r="T10" i="93"/>
  <c r="T11" i="93"/>
  <c r="T12" i="93"/>
  <c r="T9" i="93"/>
  <c r="O10" i="93"/>
  <c r="O11" i="93"/>
  <c r="O12" i="93"/>
  <c r="O9" i="93"/>
  <c r="K10" i="93"/>
  <c r="K11" i="93"/>
  <c r="K12" i="93"/>
  <c r="K9" i="93"/>
  <c r="K13" i="93" s="1"/>
  <c r="AF10" i="81"/>
  <c r="AF11" i="81"/>
  <c r="AF12" i="81"/>
  <c r="AF9" i="81"/>
  <c r="AB10" i="81"/>
  <c r="AB11" i="81"/>
  <c r="AB12" i="81"/>
  <c r="AB9" i="81"/>
  <c r="X10" i="81"/>
  <c r="X11" i="81"/>
  <c r="X12" i="81"/>
  <c r="X9" i="81"/>
  <c r="T10" i="81"/>
  <c r="T11" i="81"/>
  <c r="T12" i="81"/>
  <c r="T9" i="81"/>
  <c r="O10" i="81"/>
  <c r="O11" i="81"/>
  <c r="O12" i="81"/>
  <c r="O9" i="81"/>
  <c r="O13" i="81" s="1"/>
  <c r="AF10" i="82"/>
  <c r="AF11" i="82"/>
  <c r="AF12" i="82"/>
  <c r="AF9" i="82"/>
  <c r="AB10" i="82"/>
  <c r="AB11" i="82"/>
  <c r="AB12" i="82"/>
  <c r="AB9" i="82"/>
  <c r="X10" i="82"/>
  <c r="X11" i="82"/>
  <c r="X12" i="82"/>
  <c r="X9" i="82"/>
  <c r="X13" i="82" s="1"/>
  <c r="R23" i="61" s="1"/>
  <c r="T10" i="82"/>
  <c r="T11" i="82"/>
  <c r="T12" i="82"/>
  <c r="T9" i="82"/>
  <c r="T13" i="82" s="1"/>
  <c r="O10" i="82"/>
  <c r="O11" i="82"/>
  <c r="O12" i="82"/>
  <c r="O9" i="82"/>
  <c r="K10" i="82"/>
  <c r="K11" i="82"/>
  <c r="K12" i="82"/>
  <c r="K9" i="82"/>
  <c r="AF10" i="80"/>
  <c r="AF11" i="80"/>
  <c r="AF12" i="80"/>
  <c r="AF9" i="80"/>
  <c r="AB10" i="80"/>
  <c r="AB11" i="80"/>
  <c r="AB12" i="80"/>
  <c r="X9" i="80"/>
  <c r="X11" i="80"/>
  <c r="X12" i="80"/>
  <c r="X10" i="80"/>
  <c r="T10" i="80"/>
  <c r="T11" i="80"/>
  <c r="T12" i="80"/>
  <c r="T9" i="80"/>
  <c r="O10" i="80"/>
  <c r="O11" i="80"/>
  <c r="O12" i="80"/>
  <c r="O9" i="80"/>
  <c r="K10" i="80"/>
  <c r="K11" i="80"/>
  <c r="K12" i="80"/>
  <c r="K9" i="80"/>
  <c r="AF9" i="67"/>
  <c r="AB10" i="67"/>
  <c r="AB12" i="67"/>
  <c r="AB9" i="67"/>
  <c r="X10" i="67"/>
  <c r="X11" i="67"/>
  <c r="X12" i="67"/>
  <c r="X9" i="67"/>
  <c r="T10" i="67"/>
  <c r="T11" i="67"/>
  <c r="T12" i="67"/>
  <c r="T9" i="67"/>
  <c r="O10" i="67"/>
  <c r="O11" i="67"/>
  <c r="O12" i="67"/>
  <c r="O9" i="67"/>
  <c r="K10" i="67"/>
  <c r="K11" i="67"/>
  <c r="K12" i="67"/>
  <c r="K9" i="67"/>
  <c r="AF10" i="66"/>
  <c r="AF11" i="66"/>
  <c r="AF12" i="66"/>
  <c r="AF9" i="66"/>
  <c r="AB10" i="66"/>
  <c r="AB11" i="66"/>
  <c r="AB12" i="66"/>
  <c r="AB9" i="66"/>
  <c r="X10" i="66"/>
  <c r="X11" i="66"/>
  <c r="X12" i="66"/>
  <c r="X9" i="66"/>
  <c r="X13" i="66" s="1"/>
  <c r="R17" i="61" s="1"/>
  <c r="T10" i="66"/>
  <c r="T11" i="66"/>
  <c r="T12" i="66"/>
  <c r="T9" i="66"/>
  <c r="O10" i="66"/>
  <c r="O11" i="66"/>
  <c r="O12" i="66"/>
  <c r="O9" i="66"/>
  <c r="K10" i="66"/>
  <c r="K11" i="66"/>
  <c r="K12" i="66"/>
  <c r="K9" i="66"/>
  <c r="AF10" i="65"/>
  <c r="AF11" i="65"/>
  <c r="AF12" i="65"/>
  <c r="AB10" i="65"/>
  <c r="AB11" i="65"/>
  <c r="AB12" i="65"/>
  <c r="AB9" i="65"/>
  <c r="X10" i="65"/>
  <c r="X11" i="65"/>
  <c r="X12" i="65"/>
  <c r="X9" i="65"/>
  <c r="T10" i="65"/>
  <c r="T11" i="65"/>
  <c r="T12" i="65"/>
  <c r="O10" i="65"/>
  <c r="O11" i="65"/>
  <c r="O12" i="65"/>
  <c r="O9" i="65"/>
  <c r="K10" i="65"/>
  <c r="K11" i="65"/>
  <c r="K12" i="65"/>
  <c r="K9" i="65"/>
  <c r="AF10" i="64"/>
  <c r="AF11" i="64"/>
  <c r="AF12" i="64"/>
  <c r="AF9" i="64"/>
  <c r="AH9" i="64" s="1"/>
  <c r="AB10" i="64"/>
  <c r="AB11" i="64"/>
  <c r="AB12" i="64"/>
  <c r="AB9" i="64"/>
  <c r="X10" i="64"/>
  <c r="X11" i="64"/>
  <c r="X12" i="64"/>
  <c r="X9" i="64"/>
  <c r="T11" i="64"/>
  <c r="T12" i="64"/>
  <c r="O11" i="64"/>
  <c r="O12" i="64"/>
  <c r="K11" i="64"/>
  <c r="K12" i="64"/>
  <c r="AF10" i="41"/>
  <c r="AF11" i="41"/>
  <c r="AF12" i="41"/>
  <c r="AF9" i="41"/>
  <c r="AB10" i="41"/>
  <c r="AB11" i="41"/>
  <c r="AB12" i="41"/>
  <c r="X11" i="41"/>
  <c r="X12" i="41"/>
  <c r="T12" i="41"/>
  <c r="O11" i="41"/>
  <c r="O12" i="41"/>
  <c r="K11" i="41"/>
  <c r="K12" i="41"/>
  <c r="AH10" i="91"/>
  <c r="AH11" i="91"/>
  <c r="AH12" i="91"/>
  <c r="AH9" i="91"/>
  <c r="AH10" i="87"/>
  <c r="AH11" i="87"/>
  <c r="AH12" i="87"/>
  <c r="AH9" i="87"/>
  <c r="AH10" i="88"/>
  <c r="AH11" i="88"/>
  <c r="AH12" i="88"/>
  <c r="AH9" i="88"/>
  <c r="AH10" i="89"/>
  <c r="AH11" i="89"/>
  <c r="AH12" i="89"/>
  <c r="AH9" i="89"/>
  <c r="AH10" i="90"/>
  <c r="AH11" i="90"/>
  <c r="AH12" i="90"/>
  <c r="AH9" i="90"/>
  <c r="AH10" i="86"/>
  <c r="AH11" i="86"/>
  <c r="AH12" i="86"/>
  <c r="AH9" i="86"/>
  <c r="AH10" i="84"/>
  <c r="AH11" i="84"/>
  <c r="AH12" i="84"/>
  <c r="AH9" i="84"/>
  <c r="AH10" i="83"/>
  <c r="AH11" i="83"/>
  <c r="AH12" i="83"/>
  <c r="AH9" i="83"/>
  <c r="AH10" i="93"/>
  <c r="AH11" i="93"/>
  <c r="AH12" i="93"/>
  <c r="AH9" i="93"/>
  <c r="AH10" i="81"/>
  <c r="AH11" i="81"/>
  <c r="AH12" i="81"/>
  <c r="AH9" i="81"/>
  <c r="AH10" i="82"/>
  <c r="AH11" i="82"/>
  <c r="AH12" i="82"/>
  <c r="AH9" i="82"/>
  <c r="AH10" i="80"/>
  <c r="AH11" i="80"/>
  <c r="AH12" i="80"/>
  <c r="AH9" i="80"/>
  <c r="AH10" i="67"/>
  <c r="AH11" i="67"/>
  <c r="AH12" i="67"/>
  <c r="AH9" i="67"/>
  <c r="AH10" i="66"/>
  <c r="AH11" i="66"/>
  <c r="AH12" i="66"/>
  <c r="AH9" i="66"/>
  <c r="AH10" i="65"/>
  <c r="AH11" i="65"/>
  <c r="AH12" i="65"/>
  <c r="AH9" i="65"/>
  <c r="S13" i="88"/>
  <c r="R13" i="88"/>
  <c r="I13" i="41"/>
  <c r="C11" i="61" s="1"/>
  <c r="R13" i="65"/>
  <c r="I13" i="65"/>
  <c r="R13" i="66"/>
  <c r="L17" i="61" s="1"/>
  <c r="I13" i="66"/>
  <c r="C17" i="61" s="1"/>
  <c r="K17" i="61" s="1"/>
  <c r="I13" i="67"/>
  <c r="C19" i="61" s="1"/>
  <c r="R13" i="80"/>
  <c r="I13" i="80"/>
  <c r="C21" i="61" s="1"/>
  <c r="R13" i="82"/>
  <c r="L23" i="61" s="1"/>
  <c r="I13" i="82"/>
  <c r="C23" i="61" s="1"/>
  <c r="K23" i="61" s="1"/>
  <c r="R13" i="81"/>
  <c r="R13" i="93"/>
  <c r="L27" i="61" s="1"/>
  <c r="I13" i="93"/>
  <c r="R13" i="84"/>
  <c r="I13" i="84"/>
  <c r="R13" i="86"/>
  <c r="I13" i="86"/>
  <c r="R13" i="90"/>
  <c r="L35" i="61" s="1"/>
  <c r="I13" i="90"/>
  <c r="R13" i="89"/>
  <c r="I13" i="89"/>
  <c r="R13" i="92"/>
  <c r="L45" i="61" s="1"/>
  <c r="I13" i="92"/>
  <c r="R13" i="91"/>
  <c r="I13" i="91"/>
  <c r="C43" i="61" s="1"/>
  <c r="R13" i="87"/>
  <c r="I13" i="87"/>
  <c r="C41" i="61" s="1"/>
  <c r="I13" i="88"/>
  <c r="C39" i="61" s="1"/>
  <c r="Q24" i="98"/>
  <c r="AE13" i="41"/>
  <c r="Y11" i="61" s="1"/>
  <c r="AE13" i="64"/>
  <c r="Y13" i="61" s="1"/>
  <c r="AE13" i="66"/>
  <c r="AE13" i="67"/>
  <c r="Y19" i="61" s="1"/>
  <c r="AE13" i="80"/>
  <c r="Y21" i="61" s="1"/>
  <c r="AE13" i="82"/>
  <c r="AE13" i="81"/>
  <c r="AE13" i="93"/>
  <c r="AE13" i="83"/>
  <c r="AE13" i="84"/>
  <c r="AE13" i="86"/>
  <c r="AE13" i="90"/>
  <c r="AE13" i="89"/>
  <c r="AE13" i="88"/>
  <c r="AE13" i="87"/>
  <c r="AE13" i="91"/>
  <c r="AE13" i="92"/>
  <c r="AA13" i="41"/>
  <c r="U11" i="61" s="1"/>
  <c r="W13" i="64"/>
  <c r="Q13" i="61" s="1"/>
  <c r="AA13" i="65"/>
  <c r="U15" i="61" s="1"/>
  <c r="AA13" i="66"/>
  <c r="AA13" i="67"/>
  <c r="U19" i="61" s="1"/>
  <c r="AA13" i="80"/>
  <c r="AA13" i="82"/>
  <c r="AA13" i="81"/>
  <c r="AA13" i="93"/>
  <c r="AA13" i="83"/>
  <c r="AA13" i="84"/>
  <c r="U31" i="61" s="1"/>
  <c r="AA13" i="86"/>
  <c r="U33" i="61" s="1"/>
  <c r="AA13" i="90"/>
  <c r="U35" i="61" s="1"/>
  <c r="AA13" i="89"/>
  <c r="U37" i="61" s="1"/>
  <c r="AA13" i="88"/>
  <c r="AA13" i="87"/>
  <c r="U41" i="61" s="1"/>
  <c r="AA13" i="91"/>
  <c r="AA13" i="92"/>
  <c r="U45" i="61" s="1"/>
  <c r="W13" i="41"/>
  <c r="W13" i="65"/>
  <c r="W13" i="66"/>
  <c r="W13" i="67"/>
  <c r="W13" i="80"/>
  <c r="W13" i="82"/>
  <c r="W13" i="81"/>
  <c r="W13" i="93"/>
  <c r="Q27" i="61" s="1"/>
  <c r="W13" i="83"/>
  <c r="W13" i="84"/>
  <c r="W13" i="86"/>
  <c r="Q33" i="61" s="1"/>
  <c r="W13" i="90"/>
  <c r="W13" i="89"/>
  <c r="Q37" i="61" s="1"/>
  <c r="W13" i="88"/>
  <c r="H39" i="61" s="1"/>
  <c r="W13" i="87"/>
  <c r="Q41" i="61" s="1"/>
  <c r="W13" i="91"/>
  <c r="Q43" i="61" s="1"/>
  <c r="W13" i="92"/>
  <c r="Q45" i="61" s="1"/>
  <c r="S13" i="41"/>
  <c r="S13" i="64"/>
  <c r="S13" i="65"/>
  <c r="S13" i="66"/>
  <c r="S13" i="67"/>
  <c r="S13" i="80"/>
  <c r="M21" i="61" s="1"/>
  <c r="S13" i="82"/>
  <c r="S13" i="81"/>
  <c r="M25" i="61" s="1"/>
  <c r="S13" i="93"/>
  <c r="S13" i="83"/>
  <c r="S13" i="84"/>
  <c r="M31" i="61" s="1"/>
  <c r="S13" i="86"/>
  <c r="M33" i="61" s="1"/>
  <c r="S13" i="90"/>
  <c r="M35" i="61" s="1"/>
  <c r="S13" i="89"/>
  <c r="S13" i="87"/>
  <c r="S13" i="91"/>
  <c r="S13" i="92"/>
  <c r="N13" i="41"/>
  <c r="N13" i="64"/>
  <c r="N13" i="65"/>
  <c r="N13" i="66"/>
  <c r="H17" i="61" s="1"/>
  <c r="N13" i="67"/>
  <c r="N13" i="80"/>
  <c r="N13" i="82"/>
  <c r="N13" i="81"/>
  <c r="N13" i="93"/>
  <c r="H27" i="61" s="1"/>
  <c r="N13" i="83"/>
  <c r="N13" i="84"/>
  <c r="N13" i="86"/>
  <c r="H33" i="61" s="1"/>
  <c r="N13" i="90"/>
  <c r="N13" i="89"/>
  <c r="H37" i="61" s="1"/>
  <c r="N13" i="87"/>
  <c r="H41" i="61" s="1"/>
  <c r="N13" i="91"/>
  <c r="N13" i="92"/>
  <c r="J13" i="41"/>
  <c r="J13" i="64"/>
  <c r="D13" i="61" s="1"/>
  <c r="J13" i="65"/>
  <c r="D15" i="61" s="1"/>
  <c r="J13" i="66"/>
  <c r="J13" i="67"/>
  <c r="J13" i="80"/>
  <c r="D21" i="61" s="1"/>
  <c r="J13" i="82"/>
  <c r="J13" i="81"/>
  <c r="D25" i="61" s="1"/>
  <c r="J13" i="93"/>
  <c r="J13" i="83"/>
  <c r="D29" i="61" s="1"/>
  <c r="J13" i="84"/>
  <c r="D31" i="61" s="1"/>
  <c r="J13" i="86"/>
  <c r="D33" i="61" s="1"/>
  <c r="J13" i="90"/>
  <c r="J13" i="89"/>
  <c r="D37" i="61" s="1"/>
  <c r="J13" i="88"/>
  <c r="D39" i="61" s="1"/>
  <c r="J13" i="87"/>
  <c r="D41" i="61" s="1"/>
  <c r="J13" i="91"/>
  <c r="J13" i="92"/>
  <c r="Z13" i="92"/>
  <c r="T45" i="61" s="1"/>
  <c r="AD13" i="92"/>
  <c r="X45" i="61" s="1"/>
  <c r="Z13" i="91"/>
  <c r="AD13" i="91"/>
  <c r="Z13" i="87"/>
  <c r="AD13" i="87"/>
  <c r="Z13" i="88"/>
  <c r="AD13" i="88"/>
  <c r="Z13" i="89"/>
  <c r="T37" i="61" s="1"/>
  <c r="AD13" i="89"/>
  <c r="X37" i="61" s="1"/>
  <c r="Z13" i="90"/>
  <c r="AD13" i="90"/>
  <c r="Z13" i="86"/>
  <c r="AD13" i="86"/>
  <c r="Z13" i="84"/>
  <c r="T31" i="61" s="1"/>
  <c r="AD13" i="84"/>
  <c r="X31" i="61" s="1"/>
  <c r="Z13" i="83"/>
  <c r="AD13" i="83"/>
  <c r="Z13" i="93"/>
  <c r="AD13" i="93"/>
  <c r="Z13" i="81"/>
  <c r="T25" i="61" s="1"/>
  <c r="AD13" i="81"/>
  <c r="X25" i="61" s="1"/>
  <c r="Z13" i="82"/>
  <c r="AD13" i="82"/>
  <c r="X23" i="61" s="1"/>
  <c r="Z13" i="80"/>
  <c r="AD13" i="80"/>
  <c r="Z13" i="67"/>
  <c r="AD13" i="67"/>
  <c r="Z13" i="66"/>
  <c r="AD13" i="66"/>
  <c r="Z13" i="65"/>
  <c r="AG9" i="65"/>
  <c r="AD13" i="65"/>
  <c r="X15" i="61" s="1"/>
  <c r="AC9" i="41"/>
  <c r="AH9" i="41"/>
  <c r="AD13" i="41"/>
  <c r="X11" i="61" s="1"/>
  <c r="Y9" i="64"/>
  <c r="AC9" i="64"/>
  <c r="AG9" i="64"/>
  <c r="L9" i="65"/>
  <c r="P9" i="65"/>
  <c r="U9" i="65"/>
  <c r="Y9" i="65"/>
  <c r="AC9" i="65"/>
  <c r="L9" i="66"/>
  <c r="P9" i="66"/>
  <c r="U9" i="66"/>
  <c r="Y9" i="66"/>
  <c r="AC9" i="66"/>
  <c r="AG9" i="66"/>
  <c r="L9" i="67"/>
  <c r="P9" i="67"/>
  <c r="U9" i="67"/>
  <c r="Y9" i="67"/>
  <c r="AC9" i="67"/>
  <c r="AG9" i="67"/>
  <c r="L9" i="80"/>
  <c r="P9" i="80"/>
  <c r="U9" i="80"/>
  <c r="Y9" i="80"/>
  <c r="AC9" i="80"/>
  <c r="AG9" i="80"/>
  <c r="L9" i="82"/>
  <c r="P9" i="82"/>
  <c r="U9" i="82"/>
  <c r="Y9" i="82"/>
  <c r="AC9" i="82"/>
  <c r="AG9" i="82"/>
  <c r="I13" i="81"/>
  <c r="L25" i="61" s="1"/>
  <c r="L9" i="81"/>
  <c r="P9" i="81"/>
  <c r="U9" i="81"/>
  <c r="Y9" i="81"/>
  <c r="AC9" i="81"/>
  <c r="AG9" i="81"/>
  <c r="L9" i="93"/>
  <c r="P9" i="93"/>
  <c r="U9" i="93"/>
  <c r="Y9" i="93"/>
  <c r="AC9" i="93"/>
  <c r="AG9" i="93"/>
  <c r="L9" i="83"/>
  <c r="P9" i="83"/>
  <c r="U9" i="83"/>
  <c r="Y9" i="83"/>
  <c r="AC9" i="83"/>
  <c r="AG9" i="83"/>
  <c r="L9" i="84"/>
  <c r="P9" i="84"/>
  <c r="U9" i="84"/>
  <c r="Y9" i="84"/>
  <c r="AC9" i="84"/>
  <c r="AG9" i="84"/>
  <c r="L9" i="86"/>
  <c r="P9" i="86"/>
  <c r="U9" i="86"/>
  <c r="Y9" i="86"/>
  <c r="AC9" i="86"/>
  <c r="AG9" i="86"/>
  <c r="L9" i="90"/>
  <c r="P9" i="90"/>
  <c r="U9" i="90"/>
  <c r="Y9" i="90"/>
  <c r="AC9" i="90"/>
  <c r="AG9" i="90"/>
  <c r="L9" i="89"/>
  <c r="P9" i="89"/>
  <c r="U9" i="89"/>
  <c r="Y9" i="89"/>
  <c r="AC9" i="89"/>
  <c r="AG9" i="89"/>
  <c r="L9" i="88"/>
  <c r="P9" i="88"/>
  <c r="U9" i="88"/>
  <c r="Y9" i="88"/>
  <c r="AC9" i="88"/>
  <c r="AG9" i="88"/>
  <c r="L9" i="87"/>
  <c r="P9" i="87"/>
  <c r="U9" i="87"/>
  <c r="Y9" i="87"/>
  <c r="AC9" i="87"/>
  <c r="AG9" i="87"/>
  <c r="L9" i="91"/>
  <c r="P9" i="91"/>
  <c r="U9" i="91"/>
  <c r="Y9" i="91"/>
  <c r="AC9" i="91"/>
  <c r="AG9" i="91"/>
  <c r="L9" i="92"/>
  <c r="P9" i="92"/>
  <c r="U9" i="92"/>
  <c r="Y9" i="92"/>
  <c r="AC9" i="92"/>
  <c r="AG9" i="92"/>
  <c r="U10" i="41"/>
  <c r="U11" i="41"/>
  <c r="U12" i="41"/>
  <c r="U10" i="81"/>
  <c r="U11" i="81"/>
  <c r="U12" i="81"/>
  <c r="L10" i="81"/>
  <c r="L11" i="81"/>
  <c r="L12" i="81"/>
  <c r="L10" i="41"/>
  <c r="L11" i="41"/>
  <c r="L12" i="41"/>
  <c r="U10" i="92"/>
  <c r="U11" i="92"/>
  <c r="U12" i="92"/>
  <c r="L10" i="92"/>
  <c r="L11" i="92"/>
  <c r="L12" i="92"/>
  <c r="U10" i="91"/>
  <c r="U11" i="91"/>
  <c r="U12" i="91"/>
  <c r="L10" i="91"/>
  <c r="L11" i="91"/>
  <c r="L12" i="91"/>
  <c r="L10" i="87"/>
  <c r="L11" i="87"/>
  <c r="L12" i="87"/>
  <c r="U12" i="87"/>
  <c r="U11" i="87"/>
  <c r="U10" i="87"/>
  <c r="U10" i="88"/>
  <c r="U11" i="88"/>
  <c r="U12" i="88"/>
  <c r="L12" i="88"/>
  <c r="L11" i="88"/>
  <c r="L10" i="88"/>
  <c r="U10" i="89"/>
  <c r="U11" i="89"/>
  <c r="U12" i="89"/>
  <c r="L10" i="89"/>
  <c r="L11" i="89"/>
  <c r="L12" i="89"/>
  <c r="U10" i="90"/>
  <c r="U11" i="90"/>
  <c r="U12" i="90"/>
  <c r="P10" i="90"/>
  <c r="P11" i="90"/>
  <c r="P12" i="90"/>
  <c r="L10" i="90"/>
  <c r="L11" i="90"/>
  <c r="L12" i="90"/>
  <c r="U10" i="86"/>
  <c r="U11" i="86"/>
  <c r="U12" i="86"/>
  <c r="L10" i="86"/>
  <c r="L11" i="86"/>
  <c r="L12" i="86"/>
  <c r="U10" i="84"/>
  <c r="U11" i="84"/>
  <c r="U12" i="84"/>
  <c r="L10" i="84"/>
  <c r="L11" i="84"/>
  <c r="L12" i="84"/>
  <c r="M13" i="84"/>
  <c r="Q13" i="84" s="1"/>
  <c r="U10" i="83"/>
  <c r="U11" i="83"/>
  <c r="U12" i="83"/>
  <c r="L10" i="83"/>
  <c r="L11" i="83"/>
  <c r="L12" i="83"/>
  <c r="M13" i="83"/>
  <c r="G29" i="61" s="1"/>
  <c r="U10" i="93"/>
  <c r="U11" i="93"/>
  <c r="U12" i="93"/>
  <c r="L10" i="93"/>
  <c r="L11" i="93"/>
  <c r="L12" i="93"/>
  <c r="V13" i="81"/>
  <c r="U10" i="82"/>
  <c r="U11" i="82"/>
  <c r="U12" i="82"/>
  <c r="L11" i="82"/>
  <c r="L12" i="82"/>
  <c r="U10" i="80"/>
  <c r="U11" i="80"/>
  <c r="U12" i="80"/>
  <c r="L10" i="80"/>
  <c r="L11" i="80"/>
  <c r="L12" i="80"/>
  <c r="R13" i="67"/>
  <c r="U10" i="67"/>
  <c r="U11" i="67"/>
  <c r="U12" i="67"/>
  <c r="L11" i="67"/>
  <c r="L12" i="67"/>
  <c r="U10" i="66"/>
  <c r="U11" i="66"/>
  <c r="U12" i="66"/>
  <c r="L10" i="66"/>
  <c r="L11" i="66"/>
  <c r="L12" i="66"/>
  <c r="U10" i="65"/>
  <c r="U11" i="65"/>
  <c r="U12" i="65"/>
  <c r="M13" i="65"/>
  <c r="L12" i="65"/>
  <c r="L11" i="65"/>
  <c r="L10" i="65"/>
  <c r="L11" i="64"/>
  <c r="L12" i="64"/>
  <c r="U12" i="64"/>
  <c r="V13" i="41"/>
  <c r="Y11" i="41"/>
  <c r="U11" i="99"/>
  <c r="U12" i="99"/>
  <c r="U13" i="99"/>
  <c r="Q11" i="99"/>
  <c r="Q12" i="99"/>
  <c r="Q13" i="99"/>
  <c r="Y13" i="99"/>
  <c r="V13" i="99"/>
  <c r="X13" i="99"/>
  <c r="W13" i="99"/>
  <c r="R13" i="99"/>
  <c r="T13" i="99"/>
  <c r="S13" i="99"/>
  <c r="N13" i="99"/>
  <c r="M11" i="99"/>
  <c r="M12" i="99"/>
  <c r="M13" i="99"/>
  <c r="P13" i="99"/>
  <c r="O13" i="99"/>
  <c r="J13" i="99"/>
  <c r="I11" i="99"/>
  <c r="I12" i="99"/>
  <c r="I13" i="99"/>
  <c r="L13" i="99"/>
  <c r="K13" i="99"/>
  <c r="Y12" i="99"/>
  <c r="X12" i="99"/>
  <c r="T12" i="99"/>
  <c r="P12" i="99"/>
  <c r="L12" i="99"/>
  <c r="Y11" i="99"/>
  <c r="X11" i="99"/>
  <c r="T11" i="99"/>
  <c r="P11" i="99"/>
  <c r="L11" i="99"/>
  <c r="L12" i="98"/>
  <c r="P12" i="98"/>
  <c r="T12" i="98"/>
  <c r="L13" i="98"/>
  <c r="P13" i="98"/>
  <c r="T13" i="98"/>
  <c r="L14" i="98"/>
  <c r="P14" i="98"/>
  <c r="T14" i="98"/>
  <c r="L15" i="98"/>
  <c r="P15" i="98"/>
  <c r="T15" i="98"/>
  <c r="L16" i="98"/>
  <c r="P16" i="98"/>
  <c r="T16" i="98"/>
  <c r="I17" i="98"/>
  <c r="J17" i="98"/>
  <c r="M17" i="98"/>
  <c r="N17" i="98"/>
  <c r="Q17" i="98"/>
  <c r="R17" i="98"/>
  <c r="L19" i="98"/>
  <c r="P19" i="98"/>
  <c r="T19" i="98"/>
  <c r="L20" i="98"/>
  <c r="P20" i="98"/>
  <c r="T20" i="98"/>
  <c r="L21" i="98"/>
  <c r="P21" i="98"/>
  <c r="T21" i="98"/>
  <c r="L22" i="98"/>
  <c r="P22" i="98"/>
  <c r="T22" i="98"/>
  <c r="L23" i="98"/>
  <c r="P23" i="98"/>
  <c r="T23" i="98"/>
  <c r="I24" i="98"/>
  <c r="J24" i="98"/>
  <c r="M24" i="98"/>
  <c r="N24" i="98"/>
  <c r="R24" i="98"/>
  <c r="L26" i="98"/>
  <c r="P26" i="98"/>
  <c r="T26" i="98"/>
  <c r="L27" i="98"/>
  <c r="P27" i="98"/>
  <c r="T27" i="98"/>
  <c r="L28" i="98"/>
  <c r="P28" i="98"/>
  <c r="T28" i="98"/>
  <c r="L29" i="98"/>
  <c r="P29" i="98"/>
  <c r="T29" i="98"/>
  <c r="L30" i="98"/>
  <c r="P30" i="98"/>
  <c r="T30" i="98"/>
  <c r="I31" i="98"/>
  <c r="J31" i="98"/>
  <c r="M31" i="98"/>
  <c r="N31" i="98"/>
  <c r="Q31" i="98"/>
  <c r="R31" i="98"/>
  <c r="L33" i="98"/>
  <c r="P33" i="98"/>
  <c r="T33" i="98"/>
  <c r="L34" i="98"/>
  <c r="P34" i="98"/>
  <c r="T34" i="98"/>
  <c r="L35" i="98"/>
  <c r="P35" i="98"/>
  <c r="T35" i="98"/>
  <c r="L36" i="98"/>
  <c r="P36" i="98"/>
  <c r="T36" i="98"/>
  <c r="L37" i="98"/>
  <c r="P37" i="98"/>
  <c r="T37" i="98"/>
  <c r="I38" i="98"/>
  <c r="J38" i="98"/>
  <c r="M38" i="98"/>
  <c r="N38" i="98"/>
  <c r="Q38" i="98"/>
  <c r="R38" i="98"/>
  <c r="S38" i="98"/>
  <c r="L40" i="98"/>
  <c r="P40" i="98"/>
  <c r="T40" i="98"/>
  <c r="L41" i="98"/>
  <c r="P41" i="98"/>
  <c r="T41" i="98"/>
  <c r="L42" i="98"/>
  <c r="P42" i="98"/>
  <c r="T42" i="98"/>
  <c r="L43" i="98"/>
  <c r="P43" i="98"/>
  <c r="T43" i="98"/>
  <c r="L44" i="98"/>
  <c r="P44" i="98"/>
  <c r="T44" i="98"/>
  <c r="I45" i="98"/>
  <c r="J45" i="98"/>
  <c r="M45" i="98"/>
  <c r="N45" i="98"/>
  <c r="Q45" i="98"/>
  <c r="R45" i="98"/>
  <c r="L47" i="98"/>
  <c r="P47" i="98"/>
  <c r="T47" i="98"/>
  <c r="L48" i="98"/>
  <c r="P48" i="98"/>
  <c r="T48" i="98"/>
  <c r="L49" i="98"/>
  <c r="P49" i="98"/>
  <c r="T49" i="98"/>
  <c r="L50" i="98"/>
  <c r="P50" i="98"/>
  <c r="T50" i="98"/>
  <c r="L51" i="98"/>
  <c r="P51" i="98"/>
  <c r="T51" i="98"/>
  <c r="I52" i="98"/>
  <c r="J52" i="98"/>
  <c r="M52" i="98"/>
  <c r="N52" i="98"/>
  <c r="Q52" i="98"/>
  <c r="R52" i="98"/>
  <c r="L54" i="98"/>
  <c r="P54" i="98"/>
  <c r="T54" i="98"/>
  <c r="L55" i="98"/>
  <c r="P55" i="98"/>
  <c r="T55" i="98"/>
  <c r="L56" i="98"/>
  <c r="P56" i="98"/>
  <c r="T56" i="98"/>
  <c r="L57" i="98"/>
  <c r="P57" i="98"/>
  <c r="T57" i="98"/>
  <c r="L58" i="98"/>
  <c r="P58" i="98"/>
  <c r="T58" i="98"/>
  <c r="I59" i="98"/>
  <c r="J59" i="98"/>
  <c r="M59" i="98"/>
  <c r="N59" i="98"/>
  <c r="Q59" i="98"/>
  <c r="R59" i="98"/>
  <c r="L61" i="98"/>
  <c r="P61" i="98"/>
  <c r="T61" i="98"/>
  <c r="L62" i="98"/>
  <c r="P62" i="98"/>
  <c r="T62" i="98"/>
  <c r="L63" i="98"/>
  <c r="P63" i="98"/>
  <c r="T63" i="98"/>
  <c r="L64" i="98"/>
  <c r="P64" i="98"/>
  <c r="T64" i="98"/>
  <c r="L65" i="98"/>
  <c r="P65" i="98"/>
  <c r="T65" i="98"/>
  <c r="I66" i="98"/>
  <c r="J66" i="98"/>
  <c r="M66" i="98"/>
  <c r="N66" i="98"/>
  <c r="Q66" i="98"/>
  <c r="R66" i="98"/>
  <c r="L68" i="98"/>
  <c r="P68" i="98"/>
  <c r="T68" i="98"/>
  <c r="L69" i="98"/>
  <c r="P69" i="98"/>
  <c r="T69" i="98"/>
  <c r="L70" i="98"/>
  <c r="P70" i="98"/>
  <c r="T70" i="98"/>
  <c r="L71" i="98"/>
  <c r="P71" i="98"/>
  <c r="T71" i="98"/>
  <c r="L72" i="98"/>
  <c r="P72" i="98"/>
  <c r="T72" i="98"/>
  <c r="I73" i="98"/>
  <c r="J73" i="98"/>
  <c r="M73" i="98"/>
  <c r="N73" i="98"/>
  <c r="Q73" i="98"/>
  <c r="R73" i="98"/>
  <c r="L75" i="98"/>
  <c r="P75" i="98"/>
  <c r="T75" i="98"/>
  <c r="L76" i="98"/>
  <c r="P76" i="98"/>
  <c r="T76" i="98"/>
  <c r="L77" i="98"/>
  <c r="P77" i="98"/>
  <c r="T77" i="98"/>
  <c r="L78" i="98"/>
  <c r="P78" i="98"/>
  <c r="T78" i="98"/>
  <c r="L79" i="98"/>
  <c r="P79" i="98"/>
  <c r="T79" i="98"/>
  <c r="I80" i="98"/>
  <c r="J80" i="98"/>
  <c r="M80" i="98"/>
  <c r="N80" i="98"/>
  <c r="Q80" i="98"/>
  <c r="R80" i="98"/>
  <c r="L82" i="98"/>
  <c r="P82" i="98"/>
  <c r="T82" i="98"/>
  <c r="L83" i="98"/>
  <c r="P83" i="98"/>
  <c r="T83" i="98"/>
  <c r="L84" i="98"/>
  <c r="P84" i="98"/>
  <c r="T84" i="98"/>
  <c r="L85" i="98"/>
  <c r="P85" i="98"/>
  <c r="T85" i="98"/>
  <c r="L86" i="98"/>
  <c r="P86" i="98"/>
  <c r="T86" i="98"/>
  <c r="I87" i="98"/>
  <c r="J87" i="98"/>
  <c r="M87" i="98"/>
  <c r="N87" i="98"/>
  <c r="Q87" i="98"/>
  <c r="R87" i="98"/>
  <c r="L89" i="98"/>
  <c r="P89" i="98"/>
  <c r="T89" i="98"/>
  <c r="L90" i="98"/>
  <c r="P90" i="98"/>
  <c r="T90" i="98"/>
  <c r="L91" i="98"/>
  <c r="P91" i="98"/>
  <c r="T91" i="98"/>
  <c r="L92" i="98"/>
  <c r="P92" i="98"/>
  <c r="T92" i="98"/>
  <c r="L93" i="98"/>
  <c r="P93" i="98"/>
  <c r="T93" i="98"/>
  <c r="I94" i="98"/>
  <c r="J94" i="98"/>
  <c r="M94" i="98"/>
  <c r="N94" i="98"/>
  <c r="Q94" i="98"/>
  <c r="R94" i="98"/>
  <c r="T94" i="98" s="1"/>
  <c r="L96" i="98"/>
  <c r="P96" i="98"/>
  <c r="T96" i="98"/>
  <c r="L97" i="98"/>
  <c r="P97" i="98"/>
  <c r="T97" i="98"/>
  <c r="L98" i="98"/>
  <c r="P98" i="98"/>
  <c r="T98" i="98"/>
  <c r="L99" i="98"/>
  <c r="T99" i="98"/>
  <c r="L100" i="98"/>
  <c r="P100" i="98"/>
  <c r="T100" i="98"/>
  <c r="L103" i="98"/>
  <c r="P103" i="98"/>
  <c r="T103" i="98"/>
  <c r="L104" i="98"/>
  <c r="P104" i="98"/>
  <c r="T104" i="98"/>
  <c r="L106" i="98"/>
  <c r="P106" i="98"/>
  <c r="T106" i="98"/>
  <c r="L107" i="98"/>
  <c r="T107" i="98"/>
  <c r="L108" i="98"/>
  <c r="P108" i="98"/>
  <c r="T108" i="98"/>
  <c r="I109" i="98"/>
  <c r="J109" i="98"/>
  <c r="N109" i="98"/>
  <c r="Q109" i="98"/>
  <c r="R109" i="98"/>
  <c r="L111" i="98"/>
  <c r="P111" i="98"/>
  <c r="T111" i="98"/>
  <c r="L112" i="98"/>
  <c r="P114" i="98"/>
  <c r="T112" i="98"/>
  <c r="L113" i="98"/>
  <c r="P113" i="98"/>
  <c r="T113" i="98"/>
  <c r="L114" i="98"/>
  <c r="T114" i="98"/>
  <c r="L115" i="98"/>
  <c r="P115" i="98"/>
  <c r="T115" i="98"/>
  <c r="I116" i="98"/>
  <c r="J116" i="98"/>
  <c r="N116" i="98"/>
  <c r="Q116" i="98"/>
  <c r="R116" i="98"/>
  <c r="L118" i="98"/>
  <c r="P118" i="98"/>
  <c r="T118" i="98"/>
  <c r="L119" i="98"/>
  <c r="P121" i="98"/>
  <c r="P119" i="98"/>
  <c r="T119" i="98"/>
  <c r="L120" i="98"/>
  <c r="P120" i="98"/>
  <c r="T120" i="98"/>
  <c r="L121" i="98"/>
  <c r="T121" i="98"/>
  <c r="L122" i="98"/>
  <c r="P122" i="98"/>
  <c r="T122" i="98"/>
  <c r="I123" i="98"/>
  <c r="J123" i="98"/>
  <c r="N123" i="98"/>
  <c r="Q123" i="98"/>
  <c r="R123" i="98"/>
  <c r="T123" i="98" s="1"/>
  <c r="L125" i="98"/>
  <c r="P125" i="98"/>
  <c r="T125" i="98"/>
  <c r="L126" i="98"/>
  <c r="P128" i="98"/>
  <c r="P126" i="98"/>
  <c r="T126" i="98"/>
  <c r="L127" i="98"/>
  <c r="P127" i="98"/>
  <c r="T127" i="98"/>
  <c r="L128" i="98"/>
  <c r="T128" i="98"/>
  <c r="L129" i="98"/>
  <c r="P129" i="98"/>
  <c r="T129" i="98"/>
  <c r="I130" i="98"/>
  <c r="J130" i="98"/>
  <c r="N130" i="98"/>
  <c r="Q130" i="98"/>
  <c r="R130" i="98"/>
  <c r="L132" i="98"/>
  <c r="P132" i="98"/>
  <c r="T132" i="98"/>
  <c r="L133" i="98"/>
  <c r="P133" i="98"/>
  <c r="T133" i="98"/>
  <c r="L134" i="98"/>
  <c r="P134" i="98"/>
  <c r="T134" i="98"/>
  <c r="L135" i="98"/>
  <c r="T135" i="98"/>
  <c r="L136" i="98"/>
  <c r="P136" i="98"/>
  <c r="T136" i="98"/>
  <c r="I137" i="98"/>
  <c r="J137" i="98"/>
  <c r="N137" i="98"/>
  <c r="Q137" i="98"/>
  <c r="R137" i="98"/>
  <c r="AC11" i="41"/>
  <c r="AC12" i="41"/>
  <c r="AC10" i="41"/>
  <c r="AC11" i="64"/>
  <c r="AC12" i="64"/>
  <c r="AC10" i="65"/>
  <c r="AC11" i="65"/>
  <c r="AC12" i="65"/>
  <c r="P10" i="65"/>
  <c r="P11" i="65"/>
  <c r="P12" i="65"/>
  <c r="AC10" i="66"/>
  <c r="AC11" i="66"/>
  <c r="AC12" i="66"/>
  <c r="P10" i="66"/>
  <c r="P11" i="66"/>
  <c r="P12" i="66"/>
  <c r="AC10" i="67"/>
  <c r="AC11" i="67"/>
  <c r="AC12" i="67"/>
  <c r="P10" i="67"/>
  <c r="P11" i="67"/>
  <c r="P12" i="67"/>
  <c r="AC10" i="80"/>
  <c r="AC11" i="80"/>
  <c r="P10" i="80"/>
  <c r="P11" i="80"/>
  <c r="P12" i="80"/>
  <c r="AC10" i="82"/>
  <c r="AC11" i="82"/>
  <c r="AC12" i="82"/>
  <c r="Y10" i="82"/>
  <c r="Y11" i="82"/>
  <c r="Y12" i="82"/>
  <c r="P10" i="82"/>
  <c r="P11" i="82"/>
  <c r="P12" i="82"/>
  <c r="AC10" i="81"/>
  <c r="AC11" i="81"/>
  <c r="AC12" i="81"/>
  <c r="P10" i="81"/>
  <c r="P11" i="81"/>
  <c r="P12" i="81"/>
  <c r="AC10" i="93"/>
  <c r="AC11" i="93"/>
  <c r="AC12" i="93"/>
  <c r="P10" i="93"/>
  <c r="P11" i="93"/>
  <c r="P12" i="93"/>
  <c r="AC10" i="83"/>
  <c r="AC11" i="83"/>
  <c r="AC12" i="83"/>
  <c r="P10" i="83"/>
  <c r="P11" i="83"/>
  <c r="P12" i="83"/>
  <c r="AC10" i="84"/>
  <c r="AC11" i="84"/>
  <c r="AC12" i="84"/>
  <c r="P10" i="84"/>
  <c r="P11" i="84"/>
  <c r="P12" i="84"/>
  <c r="AC10" i="86"/>
  <c r="AC11" i="86"/>
  <c r="AC12" i="86"/>
  <c r="P10" i="86"/>
  <c r="P11" i="86"/>
  <c r="P12" i="86"/>
  <c r="AC10" i="90"/>
  <c r="AC11" i="90"/>
  <c r="AC12" i="90"/>
  <c r="AC10" i="89"/>
  <c r="AC11" i="89"/>
  <c r="AC12" i="89"/>
  <c r="P10" i="89"/>
  <c r="P11" i="89"/>
  <c r="P12" i="89"/>
  <c r="AC10" i="88"/>
  <c r="AC11" i="88"/>
  <c r="AC12" i="88"/>
  <c r="P10" i="88"/>
  <c r="P11" i="88"/>
  <c r="P12" i="88"/>
  <c r="AC10" i="91"/>
  <c r="AC11" i="91"/>
  <c r="AC12" i="91"/>
  <c r="P10" i="92"/>
  <c r="P11" i="92"/>
  <c r="P12" i="92"/>
  <c r="Y10" i="92"/>
  <c r="Y11" i="92"/>
  <c r="Y12" i="92"/>
  <c r="AC10" i="87"/>
  <c r="AC11" i="87"/>
  <c r="AC12" i="87"/>
  <c r="P10" i="87"/>
  <c r="P11" i="87"/>
  <c r="P12" i="87"/>
  <c r="AC10" i="92"/>
  <c r="AC11" i="92"/>
  <c r="AC12" i="92"/>
  <c r="Y10" i="91"/>
  <c r="Y11" i="91"/>
  <c r="Y12" i="91"/>
  <c r="Y10" i="87"/>
  <c r="Y11" i="87"/>
  <c r="Y12" i="87"/>
  <c r="Y10" i="88"/>
  <c r="Y11" i="88"/>
  <c r="Y12" i="88"/>
  <c r="Y10" i="89"/>
  <c r="Y11" i="89"/>
  <c r="Y12" i="89"/>
  <c r="Y10" i="90"/>
  <c r="Y11" i="90"/>
  <c r="Y12" i="90"/>
  <c r="Y10" i="86"/>
  <c r="Y11" i="86"/>
  <c r="Y12" i="86"/>
  <c r="AG12" i="93"/>
  <c r="Y10" i="93"/>
  <c r="AG11" i="93"/>
  <c r="Y11" i="93"/>
  <c r="AG10" i="93"/>
  <c r="M13" i="93"/>
  <c r="AG12" i="92"/>
  <c r="AG11" i="92"/>
  <c r="AG10" i="92"/>
  <c r="V13" i="92"/>
  <c r="AG12" i="91"/>
  <c r="P12" i="91"/>
  <c r="AG11" i="91"/>
  <c r="P11" i="91"/>
  <c r="AG10" i="91"/>
  <c r="P10" i="91"/>
  <c r="AG12" i="87"/>
  <c r="AG11" i="87"/>
  <c r="AG10" i="87"/>
  <c r="N13" i="88"/>
  <c r="AG12" i="88"/>
  <c r="AG11" i="88"/>
  <c r="AG10" i="88"/>
  <c r="AG12" i="89"/>
  <c r="AG11" i="89"/>
  <c r="AG10" i="89"/>
  <c r="AG12" i="90"/>
  <c r="AG11" i="90"/>
  <c r="AG10" i="90"/>
  <c r="AG12" i="86"/>
  <c r="AG11" i="86"/>
  <c r="AG10" i="86"/>
  <c r="AG12" i="84"/>
  <c r="Y12" i="84"/>
  <c r="AG11" i="84"/>
  <c r="Y11" i="84"/>
  <c r="AG10" i="84"/>
  <c r="AG12" i="83"/>
  <c r="Y10" i="83"/>
  <c r="AG11" i="83"/>
  <c r="Y11" i="83"/>
  <c r="AG10" i="83"/>
  <c r="V13" i="83"/>
  <c r="AG12" i="81"/>
  <c r="Y10" i="81"/>
  <c r="AG11" i="81"/>
  <c r="Y11" i="81"/>
  <c r="AG10" i="81"/>
  <c r="AG12" i="82"/>
  <c r="AG11" i="82"/>
  <c r="AG10" i="82"/>
  <c r="AG12" i="80"/>
  <c r="Y12" i="80"/>
  <c r="AG11" i="80"/>
  <c r="Y11" i="80"/>
  <c r="AG10" i="80"/>
  <c r="AG12" i="67"/>
  <c r="Y12" i="67"/>
  <c r="AG11" i="67"/>
  <c r="Y11" i="67"/>
  <c r="AG10" i="67"/>
  <c r="M13" i="67"/>
  <c r="AG12" i="66"/>
  <c r="Y12" i="66"/>
  <c r="AG11" i="66"/>
  <c r="Y11" i="66"/>
  <c r="AG10" i="66"/>
  <c r="V13" i="66"/>
  <c r="AE13" i="65"/>
  <c r="Y15" i="61" s="1"/>
  <c r="AG12" i="65"/>
  <c r="AG11" i="65"/>
  <c r="Y11" i="65"/>
  <c r="AG10" i="65"/>
  <c r="AA13" i="64"/>
  <c r="U13" i="61" s="1"/>
  <c r="V13" i="64"/>
  <c r="AG12" i="64"/>
  <c r="AG11" i="64"/>
  <c r="Y11" i="64"/>
  <c r="Y10" i="41"/>
  <c r="V13" i="82"/>
  <c r="M13" i="86"/>
  <c r="M13" i="91"/>
  <c r="M13" i="89"/>
  <c r="V13" i="90"/>
  <c r="M13" i="90"/>
  <c r="Q13" i="90" s="1"/>
  <c r="V13" i="86"/>
  <c r="P33" i="61" s="1"/>
  <c r="V13" i="84"/>
  <c r="M13" i="81"/>
  <c r="V13" i="80"/>
  <c r="V13" i="67"/>
  <c r="P19" i="61" s="1"/>
  <c r="M13" i="66"/>
  <c r="G17" i="61" s="1"/>
  <c r="V13" i="65"/>
  <c r="V13" i="93"/>
  <c r="P27" i="61" s="1"/>
  <c r="Y12" i="93"/>
  <c r="M13" i="92"/>
  <c r="G45" i="61" s="1"/>
  <c r="V13" i="91"/>
  <c r="P43" i="61" s="1"/>
  <c r="V13" i="87"/>
  <c r="M13" i="87"/>
  <c r="Q13" i="87" s="1"/>
  <c r="V13" i="88"/>
  <c r="M13" i="88"/>
  <c r="Q13" i="88" s="1"/>
  <c r="V13" i="89"/>
  <c r="P37" i="61" s="1"/>
  <c r="Y10" i="84"/>
  <c r="Y12" i="83"/>
  <c r="Y12" i="81"/>
  <c r="M13" i="82"/>
  <c r="G23" i="61" s="1"/>
  <c r="Y10" i="80"/>
  <c r="M13" i="80"/>
  <c r="Y10" i="67"/>
  <c r="Y10" i="66"/>
  <c r="Y10" i="65"/>
  <c r="Y12" i="65"/>
  <c r="M13" i="64"/>
  <c r="Y12" i="41"/>
  <c r="AG12" i="41"/>
  <c r="Q13" i="92" l="1"/>
  <c r="C45" i="103"/>
  <c r="J47" i="103"/>
  <c r="Q13" i="91"/>
  <c r="AF13" i="87"/>
  <c r="X13" i="87"/>
  <c r="Q13" i="65"/>
  <c r="K13" i="87"/>
  <c r="Q13" i="89"/>
  <c r="Q13" i="86"/>
  <c r="Q13" i="83"/>
  <c r="Q13" i="93"/>
  <c r="Q13" i="81"/>
  <c r="Q13" i="82"/>
  <c r="Q13" i="80"/>
  <c r="Q13" i="67"/>
  <c r="Q13" i="66"/>
  <c r="P13" i="64"/>
  <c r="O13" i="91"/>
  <c r="I43" i="61" s="1"/>
  <c r="O13" i="87"/>
  <c r="I41" i="61" s="1"/>
  <c r="AF13" i="88"/>
  <c r="Z39" i="61" s="1"/>
  <c r="T13" i="88"/>
  <c r="T13" i="93"/>
  <c r="N27" i="61" s="1"/>
  <c r="AF13" i="82"/>
  <c r="Z23" i="61" s="1"/>
  <c r="AF13" i="80"/>
  <c r="Z21" i="61" s="1"/>
  <c r="C3" i="90"/>
  <c r="C3" i="86"/>
  <c r="S17" i="98"/>
  <c r="T17" i="98"/>
  <c r="T73" i="98"/>
  <c r="P38" i="98"/>
  <c r="L59" i="98"/>
  <c r="C2" i="92"/>
  <c r="C3" i="91"/>
  <c r="C3" i="84"/>
  <c r="C3" i="83"/>
  <c r="C3" i="67"/>
  <c r="C4" i="88"/>
  <c r="C4" i="89"/>
  <c r="C4" i="64"/>
  <c r="C4" i="84"/>
  <c r="C4" i="83"/>
  <c r="C4" i="93"/>
  <c r="C4" i="81"/>
  <c r="C4" i="82"/>
  <c r="C4" i="66"/>
  <c r="K87" i="98"/>
  <c r="C4" i="65"/>
  <c r="P80" i="98"/>
  <c r="C4" i="87"/>
  <c r="T31" i="98"/>
  <c r="L130" i="98"/>
  <c r="L38" i="98"/>
  <c r="T116" i="98"/>
  <c r="T87" i="98"/>
  <c r="K17" i="98"/>
  <c r="K101" i="98"/>
  <c r="K130" i="98"/>
  <c r="O130" i="98"/>
  <c r="S101" i="98"/>
  <c r="S94" i="98"/>
  <c r="C3" i="93"/>
  <c r="C3" i="64"/>
  <c r="C3" i="81"/>
  <c r="C3" i="65"/>
  <c r="C3" i="82"/>
  <c r="C3" i="92"/>
  <c r="C3" i="80"/>
  <c r="C3" i="87"/>
  <c r="C3" i="66"/>
  <c r="C3" i="88"/>
  <c r="C4" i="92"/>
  <c r="C4" i="80"/>
  <c r="C4" i="91"/>
  <c r="C4" i="67"/>
  <c r="C4" i="90"/>
  <c r="C2" i="84"/>
  <c r="C2" i="83"/>
  <c r="C2" i="86"/>
  <c r="C2" i="80"/>
  <c r="C2" i="93"/>
  <c r="C2" i="64"/>
  <c r="C2" i="81"/>
  <c r="C2" i="65"/>
  <c r="C2" i="82"/>
  <c r="C2" i="67"/>
  <c r="C2" i="87"/>
  <c r="C2" i="66"/>
  <c r="C2" i="88"/>
  <c r="C2" i="89"/>
  <c r="C2" i="91"/>
  <c r="L116" i="98"/>
  <c r="O101" i="98"/>
  <c r="L137" i="98"/>
  <c r="L73" i="98"/>
  <c r="L87" i="98"/>
  <c r="T101" i="98"/>
  <c r="L101" i="98"/>
  <c r="K13" i="89"/>
  <c r="E37" i="61" s="1"/>
  <c r="X13" i="89"/>
  <c r="R37" i="61" s="1"/>
  <c r="L45" i="98"/>
  <c r="K31" i="98"/>
  <c r="S73" i="98"/>
  <c r="O137" i="98"/>
  <c r="K52" i="98"/>
  <c r="K94" i="98"/>
  <c r="S109" i="98"/>
  <c r="L52" i="98"/>
  <c r="P101" i="98"/>
  <c r="K80" i="98"/>
  <c r="O116" i="98"/>
  <c r="O123" i="98"/>
  <c r="O109" i="98"/>
  <c r="T52" i="98"/>
  <c r="M123" i="98"/>
  <c r="P123" i="98" s="1"/>
  <c r="L80" i="98"/>
  <c r="P52" i="98"/>
  <c r="P17" i="98"/>
  <c r="L123" i="98"/>
  <c r="P99" i="98"/>
  <c r="K73" i="98"/>
  <c r="M109" i="98"/>
  <c r="P109" i="98" s="1"/>
  <c r="S31" i="98"/>
  <c r="S59" i="98"/>
  <c r="O59" i="98"/>
  <c r="O94" i="98"/>
  <c r="T24" i="98"/>
  <c r="K24" i="98"/>
  <c r="S24" i="98"/>
  <c r="S45" i="98"/>
  <c r="L94" i="98"/>
  <c r="S130" i="98"/>
  <c r="O80" i="98"/>
  <c r="P66" i="98"/>
  <c r="P24" i="98"/>
  <c r="K59" i="98"/>
  <c r="P73" i="98"/>
  <c r="K38" i="98"/>
  <c r="S80" i="98"/>
  <c r="M137" i="98"/>
  <c r="P137" i="98" s="1"/>
  <c r="P112" i="98"/>
  <c r="L109" i="98"/>
  <c r="P59" i="98"/>
  <c r="P31" i="98"/>
  <c r="L24" i="98"/>
  <c r="O17" i="98"/>
  <c r="O87" i="98"/>
  <c r="S116" i="98"/>
  <c r="T109" i="98"/>
  <c r="L31" i="98"/>
  <c r="O38" i="98"/>
  <c r="T80" i="98"/>
  <c r="O73" i="98"/>
  <c r="K123" i="98"/>
  <c r="T38" i="98"/>
  <c r="S52" i="98"/>
  <c r="S137" i="98"/>
  <c r="O66" i="98"/>
  <c r="M130" i="98"/>
  <c r="P130" i="98" s="1"/>
  <c r="P45" i="98"/>
  <c r="L17" i="98"/>
  <c r="M116" i="98"/>
  <c r="P116" i="98" s="1"/>
  <c r="L66" i="98"/>
  <c r="S123" i="98"/>
  <c r="T137" i="98"/>
  <c r="P135" i="98"/>
  <c r="P107" i="98"/>
  <c r="K137" i="98"/>
  <c r="P87" i="98"/>
  <c r="T59" i="98"/>
  <c r="O24" i="98"/>
  <c r="T130" i="98"/>
  <c r="P94" i="98"/>
  <c r="T66" i="98"/>
  <c r="T45" i="98"/>
  <c r="O45" i="98"/>
  <c r="K109" i="98"/>
  <c r="O52" i="98"/>
  <c r="O31" i="98"/>
  <c r="K116" i="98"/>
  <c r="S87" i="98"/>
  <c r="S66" i="98"/>
  <c r="K66" i="98"/>
  <c r="K45" i="98"/>
  <c r="L13" i="90"/>
  <c r="H31" i="61"/>
  <c r="AB13" i="83"/>
  <c r="V29" i="61" s="1"/>
  <c r="H29" i="61"/>
  <c r="J29" i="61" s="1"/>
  <c r="K13" i="82"/>
  <c r="E23" i="61" s="1"/>
  <c r="K13" i="66"/>
  <c r="E17" i="61" s="1"/>
  <c r="Y41" i="61"/>
  <c r="L39" i="61"/>
  <c r="K13" i="83"/>
  <c r="E29" i="61" s="1"/>
  <c r="Y27" i="61"/>
  <c r="L13" i="93"/>
  <c r="D45" i="61"/>
  <c r="M17" i="61"/>
  <c r="O17" i="61" s="1"/>
  <c r="O13" i="66"/>
  <c r="I17" i="61" s="1"/>
  <c r="Y13" i="65"/>
  <c r="Y45" i="61"/>
  <c r="AA45" i="61" s="1"/>
  <c r="D43" i="61"/>
  <c r="F43" i="61" s="1"/>
  <c r="H43" i="61"/>
  <c r="AC13" i="91"/>
  <c r="U13" i="87"/>
  <c r="M41" i="61"/>
  <c r="P13" i="88"/>
  <c r="M39" i="61"/>
  <c r="Q39" i="61"/>
  <c r="Y13" i="88"/>
  <c r="Y39" i="61"/>
  <c r="D35" i="61"/>
  <c r="K13" i="90"/>
  <c r="H35" i="61"/>
  <c r="Q35" i="61"/>
  <c r="Y13" i="90"/>
  <c r="AC13" i="90"/>
  <c r="L29" i="61"/>
  <c r="D27" i="61"/>
  <c r="AF13" i="65"/>
  <c r="D19" i="61"/>
  <c r="F19" i="61" s="1"/>
  <c r="Q19" i="61"/>
  <c r="S19" i="61" s="1"/>
  <c r="Y13" i="80"/>
  <c r="K13" i="81"/>
  <c r="AB13" i="81"/>
  <c r="V25" i="61" s="1"/>
  <c r="Q25" i="61"/>
  <c r="U25" i="61"/>
  <c r="W25" i="61" s="1"/>
  <c r="Q21" i="61"/>
  <c r="X13" i="67"/>
  <c r="R19" i="61" s="1"/>
  <c r="T13" i="67"/>
  <c r="N19" i="61" s="1"/>
  <c r="Q15" i="61"/>
  <c r="Y13" i="64"/>
  <c r="O13" i="64"/>
  <c r="X13" i="64"/>
  <c r="E4" i="93"/>
  <c r="AF13" i="64"/>
  <c r="AC13" i="86"/>
  <c r="Y33" i="61"/>
  <c r="H23" i="61"/>
  <c r="J23" i="61" s="1"/>
  <c r="O13" i="67"/>
  <c r="I19" i="61" s="1"/>
  <c r="E3" i="92"/>
  <c r="E2" i="84"/>
  <c r="E3" i="90"/>
  <c r="AB13" i="41"/>
  <c r="E3" i="93"/>
  <c r="E3" i="82"/>
  <c r="E3" i="80"/>
  <c r="E3" i="67"/>
  <c r="E3" i="65"/>
  <c r="E3" i="81"/>
  <c r="E2" i="81"/>
  <c r="E2" i="92"/>
  <c r="E2" i="91"/>
  <c r="E3" i="89"/>
  <c r="E3" i="66"/>
  <c r="E2" i="90"/>
  <c r="E2" i="89"/>
  <c r="E2" i="86"/>
  <c r="T13" i="41"/>
  <c r="N11" i="61" s="1"/>
  <c r="P13" i="67"/>
  <c r="T13" i="81"/>
  <c r="T33" i="61"/>
  <c r="W33" i="61" s="1"/>
  <c r="T13" i="65"/>
  <c r="N15" i="61" s="1"/>
  <c r="Y13" i="66"/>
  <c r="Q17" i="61"/>
  <c r="AG13" i="80"/>
  <c r="D23" i="61"/>
  <c r="F23" i="61" s="1"/>
  <c r="U13" i="82"/>
  <c r="T23" i="61"/>
  <c r="H25" i="61"/>
  <c r="P13" i="93"/>
  <c r="M27" i="61"/>
  <c r="O27" i="61" s="1"/>
  <c r="Y13" i="93"/>
  <c r="S27" i="61"/>
  <c r="U27" i="61"/>
  <c r="AG13" i="93"/>
  <c r="AA27" i="61" s="1"/>
  <c r="L13" i="83"/>
  <c r="U13" i="83"/>
  <c r="M29" i="61"/>
  <c r="T29" i="61"/>
  <c r="Y29" i="61"/>
  <c r="L13" i="84"/>
  <c r="U13" i="84"/>
  <c r="Y13" i="84"/>
  <c r="X33" i="61"/>
  <c r="Y13" i="86"/>
  <c r="L13" i="86"/>
  <c r="Y43" i="61"/>
  <c r="U43" i="61"/>
  <c r="M43" i="61"/>
  <c r="P13" i="92"/>
  <c r="M45" i="61"/>
  <c r="O45" i="61" s="1"/>
  <c r="AG13" i="92"/>
  <c r="W45" i="61"/>
  <c r="H45" i="61"/>
  <c r="J45" i="61" s="1"/>
  <c r="L13" i="92"/>
  <c r="K13" i="92"/>
  <c r="E45" i="103" s="1"/>
  <c r="E47" i="103" s="1"/>
  <c r="S43" i="61"/>
  <c r="R43" i="61"/>
  <c r="AB13" i="91"/>
  <c r="Z41" i="61"/>
  <c r="F41" i="61"/>
  <c r="E41" i="61"/>
  <c r="AH13" i="88"/>
  <c r="U39" i="61"/>
  <c r="AC13" i="88"/>
  <c r="F39" i="61"/>
  <c r="L13" i="88"/>
  <c r="L13" i="89"/>
  <c r="M37" i="61"/>
  <c r="Y35" i="61"/>
  <c r="O35" i="61"/>
  <c r="K13" i="86"/>
  <c r="S33" i="61"/>
  <c r="R33" i="61"/>
  <c r="Y31" i="61"/>
  <c r="AA31" i="61" s="1"/>
  <c r="W31" i="61"/>
  <c r="Q31" i="61"/>
  <c r="O13" i="84"/>
  <c r="I31" i="61" s="1"/>
  <c r="U29" i="61"/>
  <c r="X13" i="83"/>
  <c r="R29" i="61" s="1"/>
  <c r="Q29" i="61"/>
  <c r="Y13" i="83"/>
  <c r="C29" i="61"/>
  <c r="AB13" i="93"/>
  <c r="V27" i="61" s="1"/>
  <c r="O13" i="93"/>
  <c r="I27" i="61" s="1"/>
  <c r="C27" i="61"/>
  <c r="O25" i="61"/>
  <c r="U13" i="81"/>
  <c r="P25" i="61"/>
  <c r="Y25" i="61"/>
  <c r="AA25" i="61" s="1"/>
  <c r="AH13" i="81"/>
  <c r="AB25" i="61" s="1"/>
  <c r="AG13" i="82"/>
  <c r="Y23" i="61"/>
  <c r="AA23" i="61"/>
  <c r="AC13" i="82"/>
  <c r="U23" i="61"/>
  <c r="AB13" i="82"/>
  <c r="V23" i="61" s="1"/>
  <c r="Q23" i="61"/>
  <c r="M23" i="61"/>
  <c r="O23" i="61" s="1"/>
  <c r="P13" i="82"/>
  <c r="L13" i="82"/>
  <c r="U21" i="61"/>
  <c r="L21" i="61"/>
  <c r="O21" i="61" s="1"/>
  <c r="T13" i="80"/>
  <c r="N21" i="61" s="1"/>
  <c r="H21" i="61"/>
  <c r="F21" i="61"/>
  <c r="M19" i="61"/>
  <c r="U13" i="67"/>
  <c r="H19" i="61"/>
  <c r="Y17" i="61"/>
  <c r="AG13" i="66"/>
  <c r="AF13" i="66"/>
  <c r="Z17" i="61" s="1"/>
  <c r="U17" i="61"/>
  <c r="AC13" i="66"/>
  <c r="P17" i="61"/>
  <c r="U13" i="66"/>
  <c r="P13" i="66"/>
  <c r="J17" i="61"/>
  <c r="AA15" i="61"/>
  <c r="M15" i="61"/>
  <c r="O13" i="65"/>
  <c r="H15" i="61"/>
  <c r="M13" i="61"/>
  <c r="H13" i="61"/>
  <c r="H11" i="61"/>
  <c r="O13" i="41"/>
  <c r="I11" i="61" s="1"/>
  <c r="AF13" i="92"/>
  <c r="AB13" i="92"/>
  <c r="V45" i="61" s="1"/>
  <c r="P45" i="61"/>
  <c r="S45" i="61" s="1"/>
  <c r="Y13" i="92"/>
  <c r="R45" i="61"/>
  <c r="U13" i="92"/>
  <c r="T13" i="92"/>
  <c r="O13" i="92"/>
  <c r="AC13" i="92"/>
  <c r="C45" i="61"/>
  <c r="K45" i="61" s="1"/>
  <c r="AH13" i="92"/>
  <c r="AF13" i="91"/>
  <c r="Z43" i="61" s="1"/>
  <c r="X43" i="61"/>
  <c r="AG13" i="91"/>
  <c r="T43" i="61"/>
  <c r="AH13" i="91"/>
  <c r="T13" i="91"/>
  <c r="L43" i="61"/>
  <c r="U13" i="91"/>
  <c r="K13" i="91"/>
  <c r="L13" i="91"/>
  <c r="G43" i="61"/>
  <c r="K43" i="61" s="1"/>
  <c r="P13" i="91"/>
  <c r="X41" i="61"/>
  <c r="AH13" i="87"/>
  <c r="AB41" i="61" s="1"/>
  <c r="AG13" i="87"/>
  <c r="AB13" i="87"/>
  <c r="P41" i="61"/>
  <c r="S41" i="61" s="1"/>
  <c r="Y13" i="87"/>
  <c r="R41" i="61"/>
  <c r="T13" i="87"/>
  <c r="N41" i="61" s="1"/>
  <c r="L41" i="61"/>
  <c r="G41" i="61"/>
  <c r="P13" i="87"/>
  <c r="L13" i="87"/>
  <c r="AC13" i="87"/>
  <c r="T41" i="61"/>
  <c r="W41" i="61" s="1"/>
  <c r="AB13" i="88"/>
  <c r="V39" i="61" s="1"/>
  <c r="X13" i="88"/>
  <c r="P39" i="61"/>
  <c r="N39" i="61"/>
  <c r="G39" i="61"/>
  <c r="E39" i="61"/>
  <c r="U13" i="88"/>
  <c r="T39" i="61"/>
  <c r="X39" i="61"/>
  <c r="AG13" i="88"/>
  <c r="AF13" i="89"/>
  <c r="Z37" i="61" s="1"/>
  <c r="AB13" i="89"/>
  <c r="T13" i="89"/>
  <c r="Y37" i="61"/>
  <c r="AA37" i="61" s="1"/>
  <c r="W37" i="61"/>
  <c r="Y13" i="89"/>
  <c r="S37" i="61"/>
  <c r="AG13" i="89"/>
  <c r="C37" i="61"/>
  <c r="L37" i="61"/>
  <c r="U13" i="89"/>
  <c r="P13" i="89"/>
  <c r="O13" i="89"/>
  <c r="AC13" i="89"/>
  <c r="G37" i="61"/>
  <c r="J37" i="61" s="1"/>
  <c r="AH13" i="89"/>
  <c r="AG13" i="90"/>
  <c r="AF13" i="90"/>
  <c r="AB13" i="90"/>
  <c r="T35" i="61"/>
  <c r="W35" i="61" s="1"/>
  <c r="X13" i="90"/>
  <c r="R35" i="61" s="1"/>
  <c r="P35" i="61"/>
  <c r="U13" i="90"/>
  <c r="T13" i="90"/>
  <c r="N35" i="61" s="1"/>
  <c r="P13" i="90"/>
  <c r="G35" i="61"/>
  <c r="O13" i="90"/>
  <c r="C35" i="61"/>
  <c r="AH13" i="90"/>
  <c r="X35" i="61"/>
  <c r="AF13" i="86"/>
  <c r="AB13" i="86"/>
  <c r="T13" i="86"/>
  <c r="U13" i="86"/>
  <c r="O13" i="86"/>
  <c r="G33" i="61"/>
  <c r="J33" i="61" s="1"/>
  <c r="P13" i="86"/>
  <c r="AG13" i="86"/>
  <c r="AH13" i="86"/>
  <c r="C33" i="61"/>
  <c r="L33" i="61"/>
  <c r="O33" i="61" s="1"/>
  <c r="AF13" i="84"/>
  <c r="AH13" i="84"/>
  <c r="X13" i="84"/>
  <c r="P31" i="61"/>
  <c r="T13" i="84"/>
  <c r="N31" i="61" s="1"/>
  <c r="K13" i="84"/>
  <c r="C31" i="61"/>
  <c r="G31" i="61"/>
  <c r="L31" i="61"/>
  <c r="O31" i="61" s="1"/>
  <c r="AC13" i="84"/>
  <c r="AG13" i="84"/>
  <c r="P13" i="84"/>
  <c r="AG13" i="83"/>
  <c r="AH13" i="83"/>
  <c r="AF13" i="83"/>
  <c r="P29" i="61"/>
  <c r="T13" i="83"/>
  <c r="O13" i="83"/>
  <c r="X29" i="61"/>
  <c r="AC13" i="83"/>
  <c r="P13" i="83"/>
  <c r="X27" i="61"/>
  <c r="AF13" i="93"/>
  <c r="Z27" i="61" s="1"/>
  <c r="X13" i="93"/>
  <c r="R27" i="61" s="1"/>
  <c r="U13" i="93"/>
  <c r="E27" i="61"/>
  <c r="AH13" i="93"/>
  <c r="AB27" i="61" s="1"/>
  <c r="AC13" i="93"/>
  <c r="G27" i="61"/>
  <c r="J27" i="61" s="1"/>
  <c r="T27" i="61"/>
  <c r="AF13" i="81"/>
  <c r="Z25" i="61" s="1"/>
  <c r="AC13" i="81"/>
  <c r="Y13" i="81"/>
  <c r="X13" i="81"/>
  <c r="P13" i="81"/>
  <c r="I25" i="61"/>
  <c r="G25" i="61"/>
  <c r="AG13" i="81"/>
  <c r="L13" i="81"/>
  <c r="C25" i="61"/>
  <c r="AH13" i="82"/>
  <c r="AB23" i="61" s="1"/>
  <c r="N23" i="61"/>
  <c r="O13" i="82"/>
  <c r="I23" i="61" s="1"/>
  <c r="Y13" i="82"/>
  <c r="P23" i="61"/>
  <c r="AH13" i="80"/>
  <c r="AB21" i="61" s="1"/>
  <c r="X21" i="61"/>
  <c r="AA21" i="61" s="1"/>
  <c r="AC13" i="80"/>
  <c r="AB13" i="80"/>
  <c r="X13" i="80"/>
  <c r="G21" i="61"/>
  <c r="K21" i="61" s="1"/>
  <c r="O13" i="80"/>
  <c r="K13" i="80"/>
  <c r="E21" i="61" s="1"/>
  <c r="L13" i="80"/>
  <c r="P21" i="61"/>
  <c r="U13" i="80"/>
  <c r="T21" i="61"/>
  <c r="AF13" i="67"/>
  <c r="Z19" i="61" s="1"/>
  <c r="AH13" i="67"/>
  <c r="AB13" i="67"/>
  <c r="Y13" i="67"/>
  <c r="L19" i="61"/>
  <c r="G19" i="61"/>
  <c r="K19" i="61" s="1"/>
  <c r="K13" i="67"/>
  <c r="E19" i="61" s="1"/>
  <c r="L13" i="67"/>
  <c r="AC13" i="67"/>
  <c r="T19" i="61"/>
  <c r="W19" i="61" s="1"/>
  <c r="X19" i="61"/>
  <c r="AG13" i="67"/>
  <c r="X17" i="61"/>
  <c r="AH13" i="66"/>
  <c r="T17" i="61"/>
  <c r="AB13" i="66"/>
  <c r="T13" i="66"/>
  <c r="N17" i="61" s="1"/>
  <c r="D17" i="61"/>
  <c r="F17" i="61" s="1"/>
  <c r="C15" i="61"/>
  <c r="L13" i="66"/>
  <c r="AG13" i="65"/>
  <c r="AB13" i="65"/>
  <c r="V15" i="61" s="1"/>
  <c r="X13" i="65"/>
  <c r="R15" i="61" s="1"/>
  <c r="K13" i="65"/>
  <c r="E15" i="61" s="1"/>
  <c r="L13" i="65"/>
  <c r="U13" i="65"/>
  <c r="P13" i="65"/>
  <c r="G15" i="61"/>
  <c r="L15" i="61"/>
  <c r="P15" i="61"/>
  <c r="AB13" i="64"/>
  <c r="T13" i="64"/>
  <c r="N13" i="61" s="1"/>
  <c r="K13" i="64"/>
  <c r="AF13" i="41"/>
  <c r="X13" i="41"/>
  <c r="AH11" i="41"/>
  <c r="E3" i="86"/>
  <c r="E3" i="84"/>
  <c r="E4" i="90"/>
  <c r="AH12" i="41"/>
  <c r="AG11" i="41"/>
  <c r="E4" i="91"/>
  <c r="AH10" i="41"/>
  <c r="R13" i="41"/>
  <c r="U13" i="41" s="1"/>
  <c r="E2" i="65"/>
  <c r="AG10" i="41"/>
  <c r="E2" i="87"/>
  <c r="E2" i="67"/>
  <c r="E3" i="87"/>
  <c r="E2" i="83"/>
  <c r="E2" i="80"/>
  <c r="E2" i="88"/>
  <c r="E3" i="83"/>
  <c r="M13" i="41"/>
  <c r="E4" i="82"/>
  <c r="E3" i="91"/>
  <c r="E2" i="82"/>
  <c r="E2" i="93"/>
  <c r="P11" i="61"/>
  <c r="Y13" i="41"/>
  <c r="Q11" i="61"/>
  <c r="E4" i="66"/>
  <c r="E4" i="86"/>
  <c r="E4" i="92"/>
  <c r="E4" i="89"/>
  <c r="E4" i="83"/>
  <c r="M11" i="61"/>
  <c r="E4" i="87"/>
  <c r="E4" i="65"/>
  <c r="Z13" i="41"/>
  <c r="E4" i="67"/>
  <c r="E4" i="80"/>
  <c r="E4" i="81"/>
  <c r="E4" i="88"/>
  <c r="K13" i="41"/>
  <c r="E11" i="61" s="1"/>
  <c r="D11" i="61"/>
  <c r="L13" i="41"/>
  <c r="I13" i="64"/>
  <c r="G13" i="61"/>
  <c r="P13" i="61"/>
  <c r="U13" i="64"/>
  <c r="Z13" i="64"/>
  <c r="AH12" i="64"/>
  <c r="AH11" i="64"/>
  <c r="AD13" i="64"/>
  <c r="R13" i="64"/>
  <c r="AC13" i="65"/>
  <c r="AH13" i="65"/>
  <c r="T15" i="61"/>
  <c r="W15" i="61" s="1"/>
  <c r="AH10" i="64"/>
  <c r="AC10" i="64"/>
  <c r="AG10" i="64"/>
  <c r="AA11" i="61"/>
  <c r="AG13" i="41"/>
  <c r="F45" i="103" l="1"/>
  <c r="C47" i="103"/>
  <c r="K45" i="103"/>
  <c r="J41" i="61"/>
  <c r="K41" i="61"/>
  <c r="J39" i="61"/>
  <c r="K39" i="61"/>
  <c r="F37" i="61"/>
  <c r="K37" i="61"/>
  <c r="K35" i="61"/>
  <c r="F33" i="61"/>
  <c r="K33" i="61"/>
  <c r="F31" i="61"/>
  <c r="K31" i="61"/>
  <c r="F29" i="61"/>
  <c r="K29" i="61"/>
  <c r="K27" i="61"/>
  <c r="F25" i="61"/>
  <c r="K25" i="61"/>
  <c r="F15" i="61"/>
  <c r="K15" i="61"/>
  <c r="P13" i="41"/>
  <c r="G11" i="61"/>
  <c r="K11" i="61" s="1"/>
  <c r="Q13" i="64"/>
  <c r="Q13" i="41"/>
  <c r="AA29" i="61"/>
  <c r="S39" i="61"/>
  <c r="S35" i="61"/>
  <c r="S25" i="61"/>
  <c r="F35" i="61"/>
  <c r="O41" i="61"/>
  <c r="O39" i="61"/>
  <c r="J35" i="61"/>
  <c r="J31" i="61"/>
  <c r="O29" i="61"/>
  <c r="F45" i="61"/>
  <c r="J43" i="61"/>
  <c r="O43" i="61"/>
  <c r="AA41" i="61"/>
  <c r="W39" i="61"/>
  <c r="E35" i="61"/>
  <c r="F27" i="61"/>
  <c r="E25" i="61"/>
  <c r="S17" i="61"/>
  <c r="S15" i="61"/>
  <c r="X13" i="61"/>
  <c r="AA13" i="61" s="1"/>
  <c r="AG13" i="64"/>
  <c r="AC13" i="64"/>
  <c r="AH13" i="64"/>
  <c r="AB13" i="61" s="1"/>
  <c r="W43" i="61"/>
  <c r="V43" i="61"/>
  <c r="AA43" i="61"/>
  <c r="AA39" i="61"/>
  <c r="AA33" i="61"/>
  <c r="W27" i="61"/>
  <c r="Z15" i="61"/>
  <c r="R13" i="61"/>
  <c r="W21" i="61"/>
  <c r="S21" i="61"/>
  <c r="J25" i="61"/>
  <c r="N25" i="61"/>
  <c r="W23" i="61"/>
  <c r="AB19" i="61"/>
  <c r="I15" i="61"/>
  <c r="I13" i="61"/>
  <c r="Z13" i="61"/>
  <c r="V11" i="61"/>
  <c r="O19" i="61"/>
  <c r="O15" i="61"/>
  <c r="V17" i="61"/>
  <c r="W17" i="61"/>
  <c r="AA17" i="61"/>
  <c r="S23" i="61"/>
  <c r="Y47" i="61"/>
  <c r="S29" i="61"/>
  <c r="W29" i="61"/>
  <c r="S31" i="61"/>
  <c r="N33" i="61"/>
  <c r="AB39" i="61"/>
  <c r="AA35" i="61"/>
  <c r="O37" i="61"/>
  <c r="I45" i="61"/>
  <c r="E45" i="61"/>
  <c r="N43" i="61"/>
  <c r="N37" i="61"/>
  <c r="V35" i="61"/>
  <c r="E33" i="61"/>
  <c r="I33" i="61"/>
  <c r="V33" i="61"/>
  <c r="Z33" i="61"/>
  <c r="Z31" i="61"/>
  <c r="AB31" i="61"/>
  <c r="R31" i="61"/>
  <c r="Z29" i="61"/>
  <c r="U47" i="61"/>
  <c r="P13" i="80"/>
  <c r="J21" i="61"/>
  <c r="J19" i="61"/>
  <c r="H47" i="61"/>
  <c r="J15" i="61"/>
  <c r="Z45" i="61"/>
  <c r="N45" i="61"/>
  <c r="AB45" i="61"/>
  <c r="AB43" i="61"/>
  <c r="E43" i="61"/>
  <c r="V41" i="61"/>
  <c r="R39" i="61"/>
  <c r="V37" i="61"/>
  <c r="I37" i="61"/>
  <c r="AB37" i="61"/>
  <c r="Z35" i="61"/>
  <c r="I35" i="61"/>
  <c r="AB35" i="61"/>
  <c r="AB33" i="61"/>
  <c r="E31" i="61"/>
  <c r="AB29" i="61"/>
  <c r="N29" i="61"/>
  <c r="I29" i="61"/>
  <c r="R25" i="61"/>
  <c r="V21" i="61"/>
  <c r="R21" i="61"/>
  <c r="I21" i="61"/>
  <c r="V19" i="61"/>
  <c r="AA19" i="61"/>
  <c r="AB17" i="61"/>
  <c r="D47" i="61"/>
  <c r="V13" i="61"/>
  <c r="T13" i="61"/>
  <c r="W13" i="61" s="1"/>
  <c r="E13" i="61"/>
  <c r="Z11" i="61"/>
  <c r="R11" i="61"/>
  <c r="L11" i="61"/>
  <c r="O11" i="61" s="1"/>
  <c r="T11" i="61"/>
  <c r="AC13" i="41"/>
  <c r="AH13" i="41"/>
  <c r="AB11" i="61" s="1"/>
  <c r="M47" i="61"/>
  <c r="S11" i="61"/>
  <c r="Q47" i="61"/>
  <c r="F11" i="61"/>
  <c r="L13" i="64"/>
  <c r="C13" i="61"/>
  <c r="L13" i="61"/>
  <c r="P47" i="61"/>
  <c r="S13" i="61"/>
  <c r="J13" i="61"/>
  <c r="AB15" i="61"/>
  <c r="F47" i="103" l="1"/>
  <c r="K47" i="103"/>
  <c r="J11" i="61"/>
  <c r="C47" i="61"/>
  <c r="F47" i="61" s="1"/>
  <c r="K13" i="61"/>
  <c r="X47" i="61"/>
  <c r="AA47" i="61" s="1"/>
  <c r="Z47" i="61"/>
  <c r="I47" i="61"/>
  <c r="R47" i="61"/>
  <c r="E47" i="61"/>
  <c r="N47" i="61"/>
  <c r="V47" i="61"/>
  <c r="T47" i="61"/>
  <c r="W47" i="61" s="1"/>
  <c r="F13" i="61"/>
  <c r="W11" i="61"/>
  <c r="G47" i="61"/>
  <c r="S47" i="61"/>
  <c r="L47" i="61"/>
  <c r="O47" i="61" s="1"/>
  <c r="O13" i="61"/>
  <c r="J47" i="61" l="1"/>
  <c r="K47" i="61"/>
  <c r="AB47" i="61"/>
  <c r="J140" i="98"/>
  <c r="K140" i="98"/>
  <c r="N140" i="98"/>
  <c r="O140" i="98"/>
  <c r="R140" i="98"/>
  <c r="S140" i="98"/>
  <c r="M140" i="98" l="1"/>
  <c r="P140" i="98" s="1"/>
  <c r="I140" i="98"/>
  <c r="L140" i="98" s="1"/>
  <c r="Q140" i="98"/>
  <c r="T140" i="98" s="1"/>
</calcChain>
</file>

<file path=xl/sharedStrings.xml><?xml version="1.0" encoding="utf-8"?>
<sst xmlns="http://schemas.openxmlformats.org/spreadsheetml/2006/main" count="1453" uniqueCount="154">
  <si>
    <t>*This Sheet contains Schedule A of the NOGICD Act, 2010. Please access the respective sheets by clicking on the provided hyperlinks*</t>
  </si>
  <si>
    <t>SCHEDULE TO THE NOGICD ACT (TABLE OF CONTENT)</t>
  </si>
  <si>
    <t>Summary</t>
  </si>
  <si>
    <t>#1</t>
  </si>
  <si>
    <t>Feed And Detailed Engineering And Other Engineering Services</t>
  </si>
  <si>
    <t>#2</t>
  </si>
  <si>
    <t>Fabrication And Construction</t>
  </si>
  <si>
    <t>#3</t>
  </si>
  <si>
    <t>Materials And Procurement</t>
  </si>
  <si>
    <t>#4</t>
  </si>
  <si>
    <t>Well &amp; Drilling Services / Petroleum Technology</t>
  </si>
  <si>
    <t>#5</t>
  </si>
  <si>
    <t>Research And Development</t>
  </si>
  <si>
    <t>#6</t>
  </si>
  <si>
    <t>Exploration, Subsurface, Petroleum Engineering &amp; Seismic</t>
  </si>
  <si>
    <t>#7</t>
  </si>
  <si>
    <t>Transportation / Supply / Disposal Services</t>
  </si>
  <si>
    <t>#8</t>
  </si>
  <si>
    <t>Health, Safety &amp; Environment</t>
  </si>
  <si>
    <t>#9</t>
  </si>
  <si>
    <t>Information Systems / Information Technology / Communication Services</t>
  </si>
  <si>
    <t>#10</t>
  </si>
  <si>
    <t>Marine, Operations &amp; Logistics Services</t>
  </si>
  <si>
    <t>#11</t>
  </si>
  <si>
    <t>Finance &amp; Insurance</t>
  </si>
  <si>
    <t>#12</t>
  </si>
  <si>
    <t>Installation, Hookup &amp; Commissioning</t>
  </si>
  <si>
    <t>#13</t>
  </si>
  <si>
    <t>Inspection, Testing &amp; Certification</t>
  </si>
  <si>
    <t>#14</t>
  </si>
  <si>
    <t>Project Management / Consulting Services</t>
  </si>
  <si>
    <t>#15</t>
  </si>
  <si>
    <t>Surveying / Positioning Services</t>
  </si>
  <si>
    <t>#16</t>
  </si>
  <si>
    <t>Modification &amp; Maintenance</t>
  </si>
  <si>
    <t>#17</t>
  </si>
  <si>
    <t>Shipping</t>
  </si>
  <si>
    <t>#18</t>
  </si>
  <si>
    <t>Others</t>
  </si>
  <si>
    <t xml:space="preserve">*ALL THE FIELDS ON THIS TITLE BLOCK ARE MANDATORY* </t>
  </si>
  <si>
    <t>NAME OF OPERATOR:</t>
  </si>
  <si>
    <t>PROJECT START DATE</t>
  </si>
  <si>
    <t>PROJECT/CONTRACT TITLE:</t>
  </si>
  <si>
    <t>COMPLETION DATE</t>
  </si>
  <si>
    <t>NAME OF MAIN CONTRACTOR:</t>
  </si>
  <si>
    <t>TOTAL CONTRACT VALUE:</t>
  </si>
  <si>
    <t>TOTAL CONTRACT NC VALUE</t>
  </si>
  <si>
    <t>NC %</t>
  </si>
  <si>
    <t>*THIS  SHEET IS ONLY FOR NCDMB USE*</t>
  </si>
  <si>
    <t>NCCC</t>
  </si>
  <si>
    <t>S/#</t>
  </si>
  <si>
    <t>ACTIVITY/ WORK PACKAGE</t>
  </si>
  <si>
    <t>SUBCONTRACTOR/ VENDOR DETAILS</t>
  </si>
  <si>
    <t>CONTRACT DETAILS</t>
  </si>
  <si>
    <r>
      <t xml:space="preserve">TIMELINE
</t>
    </r>
    <r>
      <rPr>
        <i/>
        <sz val="11"/>
        <color theme="1"/>
        <rFont val="Futura Bk BT"/>
      </rPr>
      <t>(Duration)</t>
    </r>
  </si>
  <si>
    <r>
      <t xml:space="preserve">QUANTITY
</t>
    </r>
    <r>
      <rPr>
        <i/>
        <sz val="11"/>
        <color theme="1"/>
        <rFont val="Futura Bk BT"/>
      </rPr>
      <t>(m/h, spend, tonnage etc)</t>
    </r>
  </si>
  <si>
    <r>
      <t xml:space="preserve">PERSONNEL
</t>
    </r>
    <r>
      <rPr>
        <i/>
        <sz val="11"/>
        <color theme="1"/>
        <rFont val="Futura Bk BT"/>
      </rPr>
      <t>(Headcount)</t>
    </r>
  </si>
  <si>
    <r>
      <t xml:space="preserve">PROJECT/CONTRACT COST </t>
    </r>
    <r>
      <rPr>
        <b/>
        <sz val="14"/>
        <color rgb="FFFF0000"/>
        <rFont val="Futura Bk BT"/>
      </rPr>
      <t>(PLAN)</t>
    </r>
  </si>
  <si>
    <t>TIMELINE
(Duration)</t>
  </si>
  <si>
    <t>SCOPE DETAILS</t>
  </si>
  <si>
    <r>
      <t xml:space="preserve">NIG </t>
    </r>
    <r>
      <rPr>
        <i/>
        <sz val="12"/>
        <color theme="1"/>
        <rFont val="Futura Bk BT"/>
      </rPr>
      <t>(Scope)</t>
    </r>
  </si>
  <si>
    <r>
      <t xml:space="preserve">FOR </t>
    </r>
    <r>
      <rPr>
        <i/>
        <sz val="12"/>
        <color theme="1"/>
        <rFont val="Futura Bk BT"/>
      </rPr>
      <t>(Scope)</t>
    </r>
  </si>
  <si>
    <t>NIG</t>
  </si>
  <si>
    <t>FOR</t>
  </si>
  <si>
    <t>TOTAL</t>
  </si>
  <si>
    <t>NIG ($)</t>
  </si>
  <si>
    <t>FOR ($)</t>
  </si>
  <si>
    <t>NIG (Years)</t>
  </si>
  <si>
    <t>FOR (Years)</t>
  </si>
  <si>
    <r>
      <rPr>
        <b/>
        <sz val="12"/>
        <color theme="1"/>
        <rFont val="Futura Bk BT"/>
        <family val="2"/>
      </rPr>
      <t>Company:</t>
    </r>
    <r>
      <rPr>
        <sz val="12"/>
        <color theme="1"/>
        <rFont val="Futura Bk BT"/>
        <family val="2"/>
      </rPr>
      <t xml:space="preserve"> 
</t>
    </r>
    <r>
      <rPr>
        <b/>
        <sz val="12"/>
        <color theme="1"/>
        <rFont val="Futura Bk BT"/>
        <family val="2"/>
      </rPr>
      <t>Rep Name:</t>
    </r>
    <r>
      <rPr>
        <sz val="12"/>
        <color theme="1"/>
        <rFont val="Futura Bk BT"/>
        <family val="2"/>
      </rPr>
      <t xml:space="preserve"> 
</t>
    </r>
    <r>
      <rPr>
        <b/>
        <sz val="12"/>
        <color theme="1"/>
        <rFont val="Futura Bk BT"/>
        <family val="2"/>
      </rPr>
      <t>Phone:</t>
    </r>
    <r>
      <rPr>
        <sz val="12"/>
        <color theme="1"/>
        <rFont val="Futura Bk BT"/>
        <family val="2"/>
      </rPr>
      <t xml:space="preserve"> 
</t>
    </r>
    <r>
      <rPr>
        <b/>
        <sz val="12"/>
        <color theme="1"/>
        <rFont val="Futura Bk BT"/>
        <family val="2"/>
      </rPr>
      <t>Email:</t>
    </r>
    <r>
      <rPr>
        <sz val="12"/>
        <color theme="1"/>
        <rFont val="Futura Bk BT"/>
        <family val="2"/>
      </rPr>
      <t xml:space="preserve"> </t>
    </r>
  </si>
  <si>
    <t>SubTotal</t>
  </si>
  <si>
    <t>Project Total Value</t>
  </si>
  <si>
    <t xml:space="preserve">*PLEASE POPULATE THE Plan-NCCC SHEET TITLE BLOCK AND OTHER SHEETS' TITLE BLOCK WILL POPULATE AUTOMATICALLY* </t>
  </si>
  <si>
    <t>PROJECT START DATE:</t>
  </si>
  <si>
    <t>COMPLETION DATE:</t>
  </si>
  <si>
    <t>*DO NOT POPULATE THIS INSTRUCTION  SHEET*</t>
  </si>
  <si>
    <t>TOTAL CONTRACT NC VALUE:</t>
  </si>
  <si>
    <t>*ACTIVITY: MEANS: ANY PROJECT, CONTRACT, OPERATIONS OR SERVICE IN AN OFFSHORE OR ONSHORE AREA CARRIED OUT UNDER THE PETROLEUM INDUSTRY ACT; AND ANY ACTIVITY RELATING TO PETROLEUM EXPLORATION, DEVELOPMENT OR SERVICING*</t>
  </si>
  <si>
    <t xml:space="preserve">INSTRUCTION PAGE 
The purpose of the Nigerian Content Activity Report is to help obtain necessary information relating to the ongoing activities in the Nigerian Oil and Gas Indsutry, the main and critical activities are as contained in the schedule to the NOGICD Act, 2010. 
Please note that all the sheets from #1- #18 are the same headers and you are not required to tamper/adjust the TOTAL and NC% columns
Only applicable main activity sheet should be populated in line with the work breakdown structure and /or scope of work for the activity 
Below you will find a description of the steps required for filling the template.
We appreciate your Cooperation. </t>
  </si>
  <si>
    <r>
      <t xml:space="preserve">SUB ACTIVITIES / DESCRIPTION 
</t>
    </r>
    <r>
      <rPr>
        <b/>
        <sz val="14"/>
        <color rgb="FFFF0000"/>
        <rFont val="Futura Bk BT"/>
      </rPr>
      <t>(Add more rows on top of the sub total if applicable)</t>
    </r>
  </si>
  <si>
    <t>NCEC NUMBER</t>
  </si>
  <si>
    <t xml:space="preserve"> NOGIC JQS CERTIFICATE NO</t>
  </si>
  <si>
    <r>
      <t xml:space="preserve">QUANTITY
</t>
    </r>
    <r>
      <rPr>
        <i/>
        <sz val="14"/>
        <color rgb="FFFF0000"/>
        <rFont val="Futura Bk BT"/>
      </rPr>
      <t>(Provide the quantity in line with specified unit of measurement for the respective activity - manhour, Tonnage, Number etc, provide the quantity from project inception to date)</t>
    </r>
  </si>
  <si>
    <r>
      <t xml:space="preserve">PERSONNEL 
</t>
    </r>
    <r>
      <rPr>
        <i/>
        <sz val="14"/>
        <color rgb="FFFF0000"/>
        <rFont val="Futura Bk BT"/>
      </rPr>
      <t>(Provide headcount for the personnel deployed to date, at each time provide the peak personnel deployed to date)</t>
    </r>
  </si>
  <si>
    <r>
      <t xml:space="preserve">PROJECT COST/ VALUE </t>
    </r>
    <r>
      <rPr>
        <sz val="14"/>
        <color rgb="FFFF0000"/>
        <rFont val="Futura Bk BT"/>
      </rPr>
      <t>(PLAN - Provide planned cost/value for Nigeria and Foreign for the relative activity)</t>
    </r>
  </si>
  <si>
    <r>
      <t xml:space="preserve">WORK PROGRESS (WP) STATUS REPORT </t>
    </r>
    <r>
      <rPr>
        <sz val="14"/>
        <color rgb="FFFF0000"/>
        <rFont val="Futura Bk BT"/>
      </rPr>
      <t>(Provide work progress for Nigeria and Foreign spend to date for the relative activity)</t>
    </r>
  </si>
  <si>
    <r>
      <t xml:space="preserve">NIGERIA </t>
    </r>
    <r>
      <rPr>
        <i/>
        <sz val="14"/>
        <color theme="1"/>
        <rFont val="Futura Bk BT"/>
      </rPr>
      <t>(Scope)</t>
    </r>
  </si>
  <si>
    <r>
      <t>FOREIGN</t>
    </r>
    <r>
      <rPr>
        <b/>
        <i/>
        <sz val="14"/>
        <color theme="1"/>
        <rFont val="Futura Bk BT"/>
      </rPr>
      <t xml:space="preserve"> </t>
    </r>
    <r>
      <rPr>
        <i/>
        <sz val="14"/>
        <color theme="1"/>
        <rFont val="Futura Bk BT"/>
      </rPr>
      <t>(Scope)</t>
    </r>
  </si>
  <si>
    <t xml:space="preserve">NIGERIA </t>
  </si>
  <si>
    <t>FOREIGN</t>
  </si>
  <si>
    <t>TOTAL ($)</t>
  </si>
  <si>
    <t>NIGERIA ($)</t>
  </si>
  <si>
    <t>FOREIGN ($)</t>
  </si>
  <si>
    <t>NIGERIA  ($)</t>
  </si>
  <si>
    <t xml:space="preserve"> FOREIGN ($)</t>
  </si>
  <si>
    <t>NC%</t>
  </si>
  <si>
    <t>WP %</t>
  </si>
  <si>
    <t>REMARKS / UPDATE</t>
  </si>
  <si>
    <t>Provide the sub activities/description for the activity in line with the schedule to the NOGICD Act</t>
  </si>
  <si>
    <t xml:space="preserve">Provide subcontractor/vendor details in the format below:
Company: 
Rep Name: 
Phone: 
Email: </t>
  </si>
  <si>
    <t>Provide the overall scope details  for the activity executed to date</t>
  </si>
  <si>
    <t>Provide the Nigeria scope details for the activity executed to date</t>
  </si>
  <si>
    <t>Provide the Foreign scope details for the activity executed to date</t>
  </si>
  <si>
    <t>Provide the Nigerian Content Equipment Certificate (NCEC) Number for the company that executed the activity</t>
  </si>
  <si>
    <t xml:space="preserve">Provide the Nigerian Oil and Gas Industry Content Joint Qualification System (NOGIC JQS) number for the company that executed the activity </t>
  </si>
  <si>
    <t>*DO NOT POPULATE THIS SUMMARY SHEET*</t>
  </si>
  <si>
    <t>TABLE OF CONTENT/SUMMARY OF PROJECT ACTIVITIES
(Q1-Q4 -2024 - SUMMARY)</t>
  </si>
  <si>
    <r>
      <t>QUANTITY</t>
    </r>
    <r>
      <rPr>
        <b/>
        <sz val="14"/>
        <color rgb="FF00B050"/>
        <rFont val="Futura Bk BT"/>
      </rPr>
      <t xml:space="preserve"> </t>
    </r>
    <r>
      <rPr>
        <b/>
        <sz val="14"/>
        <color rgb="FFFF0000"/>
        <rFont val="Futura Bk BT"/>
      </rPr>
      <t>(PLAN)</t>
    </r>
    <r>
      <rPr>
        <b/>
        <sz val="14"/>
        <color theme="1"/>
        <rFont val="Futura Bk BT"/>
        <family val="2"/>
      </rPr>
      <t xml:space="preserve">
</t>
    </r>
    <r>
      <rPr>
        <i/>
        <sz val="14"/>
        <color theme="1"/>
        <rFont val="Futura Bk BT"/>
      </rPr>
      <t>(Man Hours)</t>
    </r>
  </si>
  <si>
    <r>
      <t>QUANTITY</t>
    </r>
    <r>
      <rPr>
        <b/>
        <sz val="14"/>
        <color rgb="FF00B050"/>
        <rFont val="Futura Bk BT"/>
      </rPr>
      <t xml:space="preserve"> (ACTUAL)</t>
    </r>
    <r>
      <rPr>
        <b/>
        <sz val="14"/>
        <color theme="1"/>
        <rFont val="Futura Bk BT"/>
        <family val="2"/>
      </rPr>
      <t xml:space="preserve">
</t>
    </r>
    <r>
      <rPr>
        <i/>
        <sz val="14"/>
        <color theme="1"/>
        <rFont val="Futura Bk BT"/>
      </rPr>
      <t>(Man Hours)</t>
    </r>
  </si>
  <si>
    <r>
      <t xml:space="preserve">PERSONNEL </t>
    </r>
    <r>
      <rPr>
        <b/>
        <sz val="14"/>
        <color rgb="FFFF0000"/>
        <rFont val="Futura Bk BT"/>
      </rPr>
      <t>(PLAN)</t>
    </r>
    <r>
      <rPr>
        <b/>
        <sz val="14"/>
        <color theme="1"/>
        <rFont val="Futura Bk BT"/>
        <family val="2"/>
      </rPr>
      <t xml:space="preserve">
</t>
    </r>
    <r>
      <rPr>
        <i/>
        <sz val="14"/>
        <rFont val="Futura Bk BT"/>
      </rPr>
      <t>(Headcount)</t>
    </r>
  </si>
  <si>
    <r>
      <t xml:space="preserve">PERSONNEL </t>
    </r>
    <r>
      <rPr>
        <b/>
        <sz val="14"/>
        <color rgb="FF00B050"/>
        <rFont val="Futura Bk BT"/>
      </rPr>
      <t>(ACTUAL)</t>
    </r>
    <r>
      <rPr>
        <b/>
        <sz val="14"/>
        <color theme="1"/>
        <rFont val="Futura Bk BT"/>
        <family val="2"/>
      </rPr>
      <t xml:space="preserve">
</t>
    </r>
    <r>
      <rPr>
        <i/>
        <sz val="14"/>
        <rFont val="Futura Bk BT"/>
      </rPr>
      <t>(Headcount)</t>
    </r>
  </si>
  <si>
    <r>
      <t xml:space="preserve">PROJECT COST/ VALUE </t>
    </r>
    <r>
      <rPr>
        <b/>
        <sz val="14"/>
        <color rgb="FFFF0000"/>
        <rFont val="Futura Bk BT"/>
      </rPr>
      <t>(PLAN)</t>
    </r>
  </si>
  <si>
    <r>
      <t xml:space="preserve">PROJECT/CONTRACT COST </t>
    </r>
    <r>
      <rPr>
        <b/>
        <sz val="14"/>
        <color rgb="FF00CC00"/>
        <rFont val="Futura Bk BT"/>
      </rPr>
      <t>(ACTUAL)</t>
    </r>
  </si>
  <si>
    <t>FOR($)</t>
  </si>
  <si>
    <t xml:space="preserve"> FOR ($)</t>
  </si>
  <si>
    <t>FEED AND DETAILED ENGINEERING AND OTHER ENGINEERING SERVICES</t>
  </si>
  <si>
    <t>SUB ACTIVITIES / DESCRIPTION</t>
  </si>
  <si>
    <r>
      <t>QUANTITY</t>
    </r>
    <r>
      <rPr>
        <b/>
        <sz val="14"/>
        <color rgb="FF00B050"/>
        <rFont val="Futura Bk BT"/>
      </rPr>
      <t xml:space="preserve"> </t>
    </r>
    <r>
      <rPr>
        <b/>
        <sz val="14"/>
        <color rgb="FFFF0000"/>
        <rFont val="Futura Bk BT"/>
      </rPr>
      <t>(PLAN)</t>
    </r>
    <r>
      <rPr>
        <b/>
        <sz val="14"/>
        <color theme="1"/>
        <rFont val="Futura Bk BT"/>
      </rPr>
      <t xml:space="preserve">
</t>
    </r>
    <r>
      <rPr>
        <i/>
        <sz val="14"/>
        <color theme="1"/>
        <rFont val="Futura Bk BT"/>
      </rPr>
      <t>(Man Hours)</t>
    </r>
  </si>
  <si>
    <r>
      <t>PERSONNEL</t>
    </r>
    <r>
      <rPr>
        <b/>
        <sz val="14"/>
        <color rgb="FFFF0000"/>
        <rFont val="Futura Bk BT"/>
      </rPr>
      <t xml:space="preserve"> (PLAN)</t>
    </r>
    <r>
      <rPr>
        <b/>
        <sz val="14"/>
        <color theme="1"/>
        <rFont val="Futura Bk BT"/>
        <family val="2"/>
      </rPr>
      <t xml:space="preserve">
</t>
    </r>
    <r>
      <rPr>
        <i/>
        <sz val="14"/>
        <rFont val="Futura Bk BT"/>
      </rPr>
      <t>(Headcount)</t>
    </r>
  </si>
  <si>
    <r>
      <rPr>
        <b/>
        <sz val="14"/>
        <rFont val="Futura Bk BT"/>
      </rPr>
      <t>PROJECT/CONTRACT COST</t>
    </r>
    <r>
      <rPr>
        <b/>
        <sz val="14"/>
        <color rgb="FF00B050"/>
        <rFont val="Futura Bk BT"/>
        <family val="2"/>
      </rPr>
      <t xml:space="preserve"> (ACTUAL)</t>
    </r>
  </si>
  <si>
    <t>REMARKS</t>
  </si>
  <si>
    <t xml:space="preserve">Company: 
Rep Name: 
Phone: 
Email: </t>
  </si>
  <si>
    <t xml:space="preserve">*Do not add rows bolow the subtotal* </t>
  </si>
  <si>
    <t>*POPULATE  SHEET #1 TITLE BLOCK AND OTHER SHEETS' TITLE BLOCK WILL BE POPULATED AUTOMATICALLY*</t>
  </si>
  <si>
    <t>FABRICATION AND CONSTRUCTION</t>
  </si>
  <si>
    <t xml:space="preserve"> MATERIALS AND PROCUREMENT</t>
  </si>
  <si>
    <r>
      <rPr>
        <b/>
        <sz val="14"/>
        <color rgb="FF000000"/>
        <rFont val="Futura Bk BT"/>
      </rPr>
      <t xml:space="preserve">QUANTITY </t>
    </r>
    <r>
      <rPr>
        <b/>
        <sz val="14"/>
        <color rgb="FFFF0000"/>
        <rFont val="Futura Bk BT"/>
      </rPr>
      <t xml:space="preserve">(PLAN)
</t>
    </r>
    <r>
      <rPr>
        <i/>
        <sz val="14"/>
        <color rgb="FF000000"/>
        <rFont val="Futura Bk BT"/>
      </rPr>
      <t>(UoM)</t>
    </r>
  </si>
  <si>
    <r>
      <rPr>
        <b/>
        <sz val="14"/>
        <color rgb="FF000000"/>
        <rFont val="Futura Bk BT"/>
      </rPr>
      <t>QUANTITY</t>
    </r>
    <r>
      <rPr>
        <b/>
        <sz val="14"/>
        <color rgb="FF00B050"/>
        <rFont val="Futura Bk BT"/>
      </rPr>
      <t xml:space="preserve"> (ACTUAL)
</t>
    </r>
    <r>
      <rPr>
        <i/>
        <sz val="14"/>
        <color rgb="FF000000"/>
        <rFont val="Futura Bk BT"/>
      </rPr>
      <t>(UoM)</t>
    </r>
  </si>
  <si>
    <t xml:space="preserve"> WELL &amp; DRILLING SERVICES / PETROLEUM TECHNOLOGY</t>
  </si>
  <si>
    <r>
      <t xml:space="preserve">QUANTITY </t>
    </r>
    <r>
      <rPr>
        <b/>
        <sz val="14"/>
        <color rgb="FFFF0000"/>
        <rFont val="Futura Bk BT"/>
      </rPr>
      <t>(PLAN)</t>
    </r>
    <r>
      <rPr>
        <b/>
        <sz val="14"/>
        <color theme="1"/>
        <rFont val="Futura Bk BT"/>
        <family val="2"/>
      </rPr>
      <t xml:space="preserve">
</t>
    </r>
    <r>
      <rPr>
        <i/>
        <sz val="14"/>
        <color theme="1"/>
        <rFont val="Futura Bk BT"/>
      </rPr>
      <t>(Man Hours)</t>
    </r>
  </si>
  <si>
    <t xml:space="preserve"> RESEARCH AND DEVELOPMENT </t>
  </si>
  <si>
    <t>EXPLORATION, SUBSURFACE, PETROLEUM ENGINEERING &amp; SEISMIC</t>
  </si>
  <si>
    <t xml:space="preserve"> TRANSPORTATION/SUPPLY/DISPOSAL SERVICES</t>
  </si>
  <si>
    <t xml:space="preserve">HEALTH, SAFETY &amp; ENVIRONMENT </t>
  </si>
  <si>
    <t xml:space="preserve">INFORMATION SYSTEMS/INFORMATION TECHNOLOGY/COMMUNICATION SERVICES </t>
  </si>
  <si>
    <t xml:space="preserve">MARINE, OPERATIONS &amp; LOGISTICS SERVICES </t>
  </si>
  <si>
    <t>FINANCE &amp; INSURANCE</t>
  </si>
  <si>
    <t>INSTALLATION, HOOKUP &amp; COMMISSIONING</t>
  </si>
  <si>
    <t>INSPECTION, TESTING &amp; CERTIFICATION</t>
  </si>
  <si>
    <t>PROJECT MANAGEMENT / CONSULTING SERVICES</t>
  </si>
  <si>
    <t>SURVEYING/POSITIONING SERVICES</t>
  </si>
  <si>
    <t>MODIFICATION &amp; MAINTENANCE</t>
  </si>
  <si>
    <t>SHIPPING</t>
  </si>
  <si>
    <t>1%</t>
  </si>
  <si>
    <t>OTHERS</t>
  </si>
  <si>
    <r>
      <t>PERSONNEL</t>
    </r>
    <r>
      <rPr>
        <b/>
        <sz val="14"/>
        <color rgb="FFFF0000"/>
        <rFont val="Futura Bk BT"/>
      </rPr>
      <t xml:space="preserve"> </t>
    </r>
    <r>
      <rPr>
        <b/>
        <sz val="14"/>
        <color rgb="FF00B050"/>
        <rFont val="Futura Bk BT"/>
      </rPr>
      <t>(ACTUAL)</t>
    </r>
    <r>
      <rPr>
        <b/>
        <sz val="14"/>
        <color theme="1"/>
        <rFont val="Futura Bk BT"/>
        <family val="2"/>
      </rPr>
      <t xml:space="preserve">
</t>
    </r>
    <r>
      <rPr>
        <i/>
        <sz val="14"/>
        <rFont val="Futura Bk BT"/>
      </rPr>
      <t>(Headcount)</t>
    </r>
  </si>
  <si>
    <t xml:space="preserve">
</t>
  </si>
  <si>
    <t xml:space="preserve">REMARKS </t>
  </si>
  <si>
    <r>
      <t xml:space="preserve">QUANTITY </t>
    </r>
    <r>
      <rPr>
        <b/>
        <sz val="14"/>
        <color rgb="FF00B050"/>
        <rFont val="Futura Bk BT"/>
      </rPr>
      <t>(ACTUAL)</t>
    </r>
    <r>
      <rPr>
        <b/>
        <sz val="14"/>
        <color theme="1"/>
        <rFont val="Futura Bk BT"/>
      </rPr>
      <t xml:space="preserve">
</t>
    </r>
    <r>
      <rPr>
        <i/>
        <sz val="14"/>
        <color theme="1"/>
        <rFont val="Futura Bk BT"/>
      </rPr>
      <t>(Tonnage)</t>
    </r>
  </si>
  <si>
    <r>
      <t xml:space="preserve">QUANTITY </t>
    </r>
    <r>
      <rPr>
        <b/>
        <sz val="14"/>
        <color rgb="FFFF0000"/>
        <rFont val="Futura Bk BT"/>
      </rPr>
      <t>(PLAN)</t>
    </r>
    <r>
      <rPr>
        <b/>
        <sz val="14"/>
        <color theme="1"/>
        <rFont val="Futura Bk BT"/>
      </rPr>
      <t xml:space="preserve">
</t>
    </r>
    <r>
      <rPr>
        <i/>
        <sz val="14"/>
        <color theme="1"/>
        <rFont val="Futura Bk BT"/>
      </rPr>
      <t>(Tonnage)</t>
    </r>
  </si>
  <si>
    <t>QUANTITY WORK PROGRESS (%)</t>
  </si>
  <si>
    <t>ACTUAL WORK PROGRESS (%)</t>
  </si>
  <si>
    <t>QUANTITY WORK PROGRSS (%)</t>
  </si>
  <si>
    <t>ACTUAL WORK PROGRESS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</si>
</sst>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_-"/>
    <numFmt numFmtId="165" formatCode="_-[$$-409]* #,##0_ ;_-[$$-409]* \-#,##0\ ;_-[$$-409]* &quot;-&quot;??_ ;_-@_ "/>
    <numFmt numFmtId="166" formatCode="[$]d\ mmm\ yyyy;@" x16r2:formatCode16="[$-en-NG,1]d\ mmm\ yyyy;@"/>
    <numFmt numFmtId="167" formatCode="_-[$$-409]* #,##0.00_ ;_-[$$-409]* \-#,##0.00\ ;_-[$$-409]* &quot;-&quot;??_ ;_-@_ "/>
    <numFmt numFmtId="168" formatCode="_-[$$-409]* #,##0_ ;_-[$$-409]* \-#,##0\ ;_-[$$-409]* &quot;-&quot;_ ;_-@_ "/>
  </numFmts>
  <fonts count="86" x14ac:knownFonts="1">
    <font>
      <sz val="11"/>
      <color theme="1"/>
      <name val="Calibri"/>
      <family val="2"/>
      <scheme val="minor"/>
    </font>
    <font>
      <sz val="11"/>
      <color theme="1"/>
      <name val="Calibri"/>
      <family val="2"/>
      <scheme val="minor"/>
    </font>
    <font>
      <sz val="10"/>
      <name val="Arial"/>
      <family val="2"/>
    </font>
    <font>
      <sz val="14"/>
      <color theme="1"/>
      <name val="Futura Bk BT"/>
      <family val="2"/>
    </font>
    <font>
      <sz val="12"/>
      <color theme="1"/>
      <name val="Futura Bk BT"/>
      <family val="2"/>
    </font>
    <font>
      <b/>
      <sz val="12"/>
      <color rgb="FFFF0000"/>
      <name val="Futura Bk BT"/>
      <family val="2"/>
    </font>
    <font>
      <b/>
      <sz val="28"/>
      <color theme="1"/>
      <name val="Futura Bk BT"/>
      <family val="2"/>
    </font>
    <font>
      <b/>
      <sz val="12"/>
      <color theme="1"/>
      <name val="Futura Bk BT"/>
      <family val="2"/>
    </font>
    <font>
      <sz val="11"/>
      <color theme="1"/>
      <name val="Futura Bk BT"/>
      <family val="2"/>
    </font>
    <font>
      <sz val="11"/>
      <color rgb="FFFF0000"/>
      <name val="Futura Bk BT"/>
      <family val="2"/>
    </font>
    <font>
      <b/>
      <sz val="24"/>
      <color theme="1"/>
      <name val="Futura Bk BT"/>
      <family val="2"/>
    </font>
    <font>
      <b/>
      <sz val="14"/>
      <color theme="1"/>
      <name val="Futura Bk BT"/>
      <family val="2"/>
    </font>
    <font>
      <b/>
      <sz val="20"/>
      <color theme="1"/>
      <name val="Futura Bk BT"/>
      <family val="2"/>
    </font>
    <font>
      <b/>
      <sz val="10"/>
      <color theme="1"/>
      <name val="Futura Bk BT"/>
      <family val="2"/>
    </font>
    <font>
      <sz val="11"/>
      <name val="Futura Bk BT"/>
      <family val="2"/>
    </font>
    <font>
      <b/>
      <sz val="26"/>
      <color theme="1"/>
      <name val="Futura Bk BT"/>
      <family val="2"/>
    </font>
    <font>
      <u/>
      <sz val="11"/>
      <color theme="10"/>
      <name val="Calibri"/>
      <family val="2"/>
    </font>
    <font>
      <u/>
      <sz val="11"/>
      <color theme="10"/>
      <name val="Futura Bk BT"/>
      <family val="2"/>
    </font>
    <font>
      <u/>
      <sz val="12"/>
      <color theme="10"/>
      <name val="Futura Bk BT"/>
      <family val="2"/>
    </font>
    <font>
      <sz val="8"/>
      <name val="Calibri"/>
      <family val="2"/>
      <scheme val="minor"/>
    </font>
    <font>
      <b/>
      <sz val="18"/>
      <color theme="1"/>
      <name val="Futura Bk BT"/>
    </font>
    <font>
      <b/>
      <sz val="14"/>
      <color rgb="FF00B050"/>
      <name val="Futura Bk BT"/>
      <family val="2"/>
    </font>
    <font>
      <b/>
      <i/>
      <sz val="14"/>
      <color theme="1"/>
      <name val="Futura Bk BT"/>
    </font>
    <font>
      <sz val="22"/>
      <color theme="1"/>
      <name val="Futura Bk BT"/>
      <family val="2"/>
    </font>
    <font>
      <i/>
      <sz val="14"/>
      <color theme="1"/>
      <name val="Futura Bk BT"/>
    </font>
    <font>
      <b/>
      <i/>
      <sz val="11"/>
      <color rgb="FFFF0000"/>
      <name val="Calibri"/>
      <family val="2"/>
      <scheme val="minor"/>
    </font>
    <font>
      <i/>
      <sz val="12"/>
      <color theme="1"/>
      <name val="Futura Bk BT"/>
    </font>
    <font>
      <i/>
      <sz val="11"/>
      <color theme="1"/>
      <name val="Futura Bk BT"/>
    </font>
    <font>
      <b/>
      <sz val="14"/>
      <name val="Futura Bk BT"/>
    </font>
    <font>
      <sz val="11"/>
      <name val="Futura Bk BT"/>
    </font>
    <font>
      <sz val="12"/>
      <color rgb="FFFF0000"/>
      <name val="Futura Bk BT"/>
      <family val="2"/>
    </font>
    <font>
      <b/>
      <sz val="14"/>
      <color theme="1"/>
      <name val="Futura Bk BT"/>
    </font>
    <font>
      <b/>
      <sz val="14"/>
      <color rgb="FFFF0000"/>
      <name val="Futura Bk BT"/>
    </font>
    <font>
      <b/>
      <sz val="12"/>
      <color rgb="FFFF0000"/>
      <name val="Futura Bk BT"/>
    </font>
    <font>
      <i/>
      <sz val="14"/>
      <name val="Futura Bk BT"/>
    </font>
    <font>
      <b/>
      <sz val="12"/>
      <color theme="1"/>
      <name val="Futura Bk BT"/>
    </font>
    <font>
      <sz val="12"/>
      <name val="Futura Bk BT"/>
      <family val="2"/>
    </font>
    <font>
      <sz val="12"/>
      <color theme="9"/>
      <name val="Futura Bk BT"/>
    </font>
    <font>
      <b/>
      <sz val="12"/>
      <color rgb="FF92D050"/>
      <name val="Futura Bk BT"/>
    </font>
    <font>
      <sz val="12"/>
      <color theme="9"/>
      <name val="Futura Bk BT"/>
      <family val="2"/>
    </font>
    <font>
      <b/>
      <sz val="12"/>
      <color rgb="FF00B050"/>
      <name val="Futura Bk BT"/>
    </font>
    <font>
      <b/>
      <sz val="16"/>
      <color rgb="FF00B050"/>
      <name val="Futura Bk BT"/>
    </font>
    <font>
      <b/>
      <sz val="11"/>
      <color rgb="FF00B050"/>
      <name val="Futura Bk BT"/>
    </font>
    <font>
      <sz val="11"/>
      <color rgb="FF00B050"/>
      <name val="Futura Bk BT"/>
    </font>
    <font>
      <sz val="12"/>
      <color rgb="FF00B050"/>
      <name val="Futura Bk BT"/>
    </font>
    <font>
      <b/>
      <sz val="18"/>
      <color rgb="FFFF0000"/>
      <name val="Futura Bk BT"/>
    </font>
    <font>
      <b/>
      <sz val="18"/>
      <name val="Futura Bk BT"/>
    </font>
    <font>
      <b/>
      <sz val="11"/>
      <color rgb="FFFF0000"/>
      <name val="Calibri"/>
      <family val="2"/>
      <scheme val="minor"/>
    </font>
    <font>
      <b/>
      <sz val="12"/>
      <name val="Futura Bk BT"/>
    </font>
    <font>
      <b/>
      <sz val="12"/>
      <color rgb="FFFF0000"/>
      <name val="Calibri"/>
      <family val="2"/>
      <scheme val="minor"/>
    </font>
    <font>
      <b/>
      <sz val="26"/>
      <name val="Futura Bk BT"/>
    </font>
    <font>
      <i/>
      <sz val="14"/>
      <color rgb="FFFF0000"/>
      <name val="Futura Bk BT"/>
    </font>
    <font>
      <sz val="14"/>
      <color rgb="FFFF0000"/>
      <name val="Futura Bk BT"/>
    </font>
    <font>
      <b/>
      <sz val="14"/>
      <color rgb="FF00B050"/>
      <name val="Futura Bk BT"/>
    </font>
    <font>
      <b/>
      <sz val="14"/>
      <color rgb="FF00CC00"/>
      <name val="Futura Bk BT"/>
    </font>
    <font>
      <b/>
      <i/>
      <sz val="9"/>
      <color rgb="FFFF0000"/>
      <name val="Futura Bk BT"/>
    </font>
    <font>
      <b/>
      <sz val="14"/>
      <name val="Futura Bk BT"/>
      <family val="2"/>
    </font>
    <font>
      <sz val="12"/>
      <name val="Futura Bk BT"/>
    </font>
    <font>
      <b/>
      <sz val="11"/>
      <color rgb="FF00CC00"/>
      <name val="Futura Bk BT"/>
    </font>
    <font>
      <b/>
      <sz val="12"/>
      <color rgb="FF00CC00"/>
      <name val="Futura Bk BT"/>
    </font>
    <font>
      <sz val="12"/>
      <color rgb="FF00CC00"/>
      <name val="Futura Bk BT"/>
    </font>
    <font>
      <b/>
      <sz val="16"/>
      <name val="Futura Bk BT"/>
    </font>
    <font>
      <sz val="12"/>
      <color theme="1"/>
      <name val="Calibri Light"/>
      <family val="2"/>
      <scheme val="major"/>
    </font>
    <font>
      <sz val="12"/>
      <color theme="1"/>
      <name val="Futura Bk BT"/>
    </font>
    <font>
      <sz val="12"/>
      <color rgb="FFC00000"/>
      <name val="Futura Bk BT"/>
    </font>
    <font>
      <b/>
      <sz val="12"/>
      <color rgb="FFC00000"/>
      <name val="Futura Bk BT"/>
    </font>
    <font>
      <sz val="12"/>
      <color rgb="FF00B050"/>
      <name val="Futura Bk BT"/>
      <family val="2"/>
    </font>
    <font>
      <b/>
      <sz val="12"/>
      <color rgb="FF00B050"/>
      <name val="Futura Bk BT"/>
      <family val="2"/>
    </font>
    <font>
      <b/>
      <sz val="16"/>
      <color rgb="FFC00000"/>
      <name val="Futura Bk BT"/>
    </font>
    <font>
      <sz val="11"/>
      <color rgb="FF00B050"/>
      <name val="Futura Bk BT"/>
      <family val="2"/>
    </font>
    <font>
      <b/>
      <sz val="16"/>
      <color theme="1"/>
      <name val="Futura Bk BT"/>
    </font>
    <font>
      <b/>
      <sz val="16"/>
      <color rgb="FFFF0000"/>
      <name val="Futura Bk BT"/>
    </font>
    <font>
      <b/>
      <sz val="14"/>
      <color rgb="FF000000"/>
      <name val="Futura Bk BT"/>
    </font>
    <font>
      <i/>
      <sz val="14"/>
      <color rgb="FF000000"/>
      <name val="Futura Bk BT"/>
    </font>
    <font>
      <b/>
      <sz val="14"/>
      <color rgb="FF000000"/>
      <name val="Futura Bk BT"/>
      <family val="2"/>
    </font>
    <font>
      <b/>
      <sz val="11"/>
      <color theme="1"/>
      <name val="Calibri"/>
      <family val="2"/>
      <scheme val="minor"/>
    </font>
    <font>
      <b/>
      <sz val="22"/>
      <color theme="1"/>
      <name val="Futura Bk BT"/>
      <family val="2"/>
    </font>
    <font>
      <b/>
      <sz val="12"/>
      <name val="Futura Bk BT"/>
      <family val="2"/>
    </font>
    <font>
      <b/>
      <sz val="11"/>
      <color rgb="FFFF0000"/>
      <name val="Futura Bk BT"/>
      <family val="2"/>
    </font>
    <font>
      <b/>
      <sz val="11"/>
      <name val="Futura Bk BT"/>
      <family val="2"/>
    </font>
    <font>
      <sz val="14"/>
      <color rgb="FFFF0000"/>
      <name val="Futura Bk BT"/>
      <family val="2"/>
    </font>
    <font>
      <sz val="14"/>
      <name val="Futura Bk BT"/>
      <family val="2"/>
    </font>
    <font>
      <b/>
      <sz val="12"/>
      <color theme="1"/>
      <name val="Calibri"/>
      <family val="2"/>
      <scheme val="minor"/>
    </font>
    <font>
      <sz val="12"/>
      <color theme="1"/>
      <name val="Calibri"/>
      <family val="2"/>
      <scheme val="minor"/>
    </font>
    <font>
      <sz val="12"/>
      <color rgb="FFFF0000"/>
      <name val="Futura Bk BT"/>
    </font>
    <font>
      <sz val="12"/>
      <color theme="4" tint="0.59999389629810485"/>
      <name val="Futura Bk BT"/>
      <family val="2"/>
    </font>
  </fonts>
  <fills count="1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9"/>
        <bgColor indexed="64"/>
      </patternFill>
    </fill>
    <fill>
      <patternFill patternType="darkUp">
        <fgColor theme="0" tint="-0.14996795556505021"/>
        <bgColor indexed="65"/>
      </patternFill>
    </fill>
    <fill>
      <patternFill patternType="darkUp">
        <fgColor theme="0" tint="-0.14996795556505021"/>
        <bgColor rgb="FFFFFF00"/>
      </patternFill>
    </fill>
    <fill>
      <patternFill patternType="darkUp">
        <fgColor theme="0" tint="-0.14990691854609822"/>
        <bgColor indexed="65"/>
      </patternFill>
    </fill>
    <fill>
      <patternFill patternType="darkUp">
        <fgColor theme="0" tint="-0.24994659260841701"/>
        <bgColor rgb="FFFFFF00"/>
      </patternFill>
    </fill>
    <fill>
      <patternFill patternType="darkUp">
        <fgColor theme="0" tint="-0.14993743705557422"/>
        <bgColor theme="0" tint="-4.9989318521683403E-2"/>
      </patternFill>
    </fill>
    <fill>
      <patternFill patternType="darkUp">
        <fgColor theme="0" tint="-0.14996795556505021"/>
        <bgColor theme="0" tint="-4.9989318521683403E-2"/>
      </patternFill>
    </fill>
    <fill>
      <patternFill patternType="solid">
        <fgColor theme="0"/>
        <bgColor indexed="64"/>
      </patternFill>
    </fill>
    <fill>
      <patternFill patternType="darkUp">
        <fgColor theme="0" tint="-0.14996795556505021"/>
        <bgColor theme="0"/>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theme="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double">
        <color theme="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s>
  <cellStyleXfs count="6">
    <xf numFmtId="0" fontId="0" fillId="0" borderId="0"/>
    <xf numFmtId="9" fontId="1" fillId="0" borderId="0" applyFont="0" applyFill="0" applyBorder="0" applyAlignment="0" applyProtection="0"/>
    <xf numFmtId="0" fontId="2" fillId="0" borderId="0"/>
    <xf numFmtId="164" fontId="1" fillId="0" borderId="0" applyFont="0" applyFill="0" applyBorder="0" applyAlignment="0" applyProtection="0"/>
    <xf numFmtId="0" fontId="16" fillId="0" borderId="0" applyNumberFormat="0" applyFill="0" applyBorder="0" applyAlignment="0" applyProtection="0">
      <alignment vertical="top"/>
      <protection locked="0"/>
    </xf>
    <xf numFmtId="164" fontId="1" fillId="0" borderId="0" applyFont="0" applyFill="0" applyBorder="0" applyAlignment="0" applyProtection="0"/>
  </cellStyleXfs>
  <cellXfs count="690">
    <xf numFmtId="0" fontId="0" fillId="0" borderId="0" xfId="0"/>
    <xf numFmtId="0" fontId="4" fillId="0" borderId="0" xfId="0" applyFont="1" applyAlignment="1">
      <alignment horizontal="center" vertical="center" wrapText="1"/>
    </xf>
    <xf numFmtId="0" fontId="4" fillId="0" borderId="0" xfId="0" applyFont="1" applyAlignment="1" applyProtection="1">
      <alignment horizontal="center" vertical="center" wrapText="1"/>
      <protection locked="0"/>
    </xf>
    <xf numFmtId="0" fontId="25" fillId="0" borderId="0" xfId="0" applyFont="1" applyProtection="1">
      <protection locked="0"/>
    </xf>
    <xf numFmtId="0" fontId="4" fillId="0" borderId="2"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9" fontId="5" fillId="0" borderId="1" xfId="1" applyFont="1" applyBorder="1" applyAlignment="1" applyProtection="1">
      <alignment horizontal="center" vertical="center" wrapText="1"/>
      <protection locked="0"/>
    </xf>
    <xf numFmtId="0" fontId="8" fillId="0" borderId="18" xfId="0" applyFont="1" applyBorder="1" applyAlignment="1" applyProtection="1">
      <alignment horizontal="left" vertical="center" wrapText="1"/>
      <protection locked="0"/>
    </xf>
    <xf numFmtId="0" fontId="4" fillId="0" borderId="28" xfId="0" applyFont="1" applyBorder="1" applyAlignment="1" applyProtection="1">
      <alignment horizontal="center" vertical="center" wrapText="1"/>
      <protection locked="0"/>
    </xf>
    <xf numFmtId="0" fontId="4" fillId="0" borderId="5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7" fillId="0" borderId="0" xfId="0" applyFont="1" applyProtection="1">
      <protection locked="0"/>
    </xf>
    <xf numFmtId="9" fontId="35" fillId="0" borderId="42" xfId="1" applyFont="1" applyBorder="1" applyAlignment="1" applyProtection="1">
      <alignment horizontal="left" vertical="center" wrapText="1"/>
      <protection locked="0"/>
    </xf>
    <xf numFmtId="0" fontId="35" fillId="0" borderId="55" xfId="0" applyFont="1" applyBorder="1" applyAlignment="1" applyProtection="1">
      <alignment horizontal="left" vertical="center" wrapText="1"/>
      <protection locked="0"/>
    </xf>
    <xf numFmtId="0" fontId="33" fillId="0" borderId="0" xfId="0" applyFont="1" applyAlignment="1" applyProtection="1">
      <alignment horizontal="left" vertical="center" wrapText="1"/>
      <protection locked="0"/>
    </xf>
    <xf numFmtId="0" fontId="35" fillId="0" borderId="0" xfId="0" applyFont="1" applyAlignment="1" applyProtection="1">
      <alignment horizontal="left" vertical="center" wrapText="1"/>
      <protection locked="0"/>
    </xf>
    <xf numFmtId="0" fontId="4" fillId="0" borderId="0" xfId="0" applyFont="1" applyAlignment="1" applyProtection="1">
      <alignment vertical="center" wrapText="1"/>
      <protection locked="0"/>
    </xf>
    <xf numFmtId="168" fontId="48" fillId="0" borderId="58" xfId="0" applyNumberFormat="1" applyFont="1" applyBorder="1" applyAlignment="1" applyProtection="1">
      <alignment horizontal="left" vertical="center" wrapText="1"/>
      <protection locked="0"/>
    </xf>
    <xf numFmtId="0" fontId="35" fillId="0" borderId="45" xfId="0" applyFont="1" applyBorder="1" applyAlignment="1" applyProtection="1">
      <alignment horizontal="left" vertical="center" wrapText="1"/>
      <protection locked="0"/>
    </xf>
    <xf numFmtId="0" fontId="48" fillId="0" borderId="0" xfId="0" applyFont="1" applyAlignment="1" applyProtection="1">
      <alignment horizontal="left" vertical="center" wrapText="1"/>
      <protection locked="0"/>
    </xf>
    <xf numFmtId="0" fontId="48" fillId="0" borderId="58" xfId="0" applyFont="1" applyBorder="1" applyAlignment="1" applyProtection="1">
      <alignment horizontal="left" vertical="center" wrapText="1"/>
      <protection locked="0"/>
    </xf>
    <xf numFmtId="0" fontId="35" fillId="0" borderId="58" xfId="0" applyFont="1" applyBorder="1" applyAlignment="1" applyProtection="1">
      <alignment horizontal="left" vertical="center" wrapText="1"/>
      <protection locked="0"/>
    </xf>
    <xf numFmtId="166" fontId="48" fillId="0" borderId="41" xfId="0" applyNumberFormat="1" applyFont="1" applyBorder="1" applyAlignment="1" applyProtection="1">
      <alignment horizontal="left" vertical="center"/>
      <protection locked="0"/>
    </xf>
    <xf numFmtId="0" fontId="35" fillId="0" borderId="58" xfId="0" applyFont="1" applyBorder="1" applyAlignment="1" applyProtection="1">
      <alignment horizontal="left" vertical="center"/>
      <protection locked="0"/>
    </xf>
    <xf numFmtId="0" fontId="48" fillId="0" borderId="41" xfId="0" applyFont="1" applyBorder="1" applyAlignment="1" applyProtection="1">
      <alignment horizontal="left" vertical="center"/>
      <protection locked="0"/>
    </xf>
    <xf numFmtId="0" fontId="35" fillId="0" borderId="52" xfId="0" applyFont="1" applyBorder="1" applyAlignment="1" applyProtection="1">
      <alignment horizontal="left" vertical="center"/>
      <protection locked="0"/>
    </xf>
    <xf numFmtId="0" fontId="35" fillId="0" borderId="51" xfId="0" applyFont="1" applyBorder="1" applyAlignment="1" applyProtection="1">
      <alignment horizontal="left" vertical="center"/>
      <protection locked="0"/>
    </xf>
    <xf numFmtId="0" fontId="11" fillId="3" borderId="23" xfId="0" applyFont="1" applyFill="1" applyBorder="1" applyAlignment="1" applyProtection="1">
      <alignment horizontal="center" vertical="center" wrapText="1"/>
      <protection locked="0"/>
    </xf>
    <xf numFmtId="0" fontId="11" fillId="3" borderId="39" xfId="0" applyFont="1" applyFill="1" applyBorder="1" applyAlignment="1" applyProtection="1">
      <alignment horizontal="center" vertical="center" wrapText="1"/>
      <protection locked="0"/>
    </xf>
    <xf numFmtId="0" fontId="11" fillId="3" borderId="36" xfId="0" applyFont="1" applyFill="1" applyBorder="1" applyAlignment="1" applyProtection="1">
      <alignment horizontal="center" vertical="center" wrapText="1"/>
      <protection locked="0"/>
    </xf>
    <xf numFmtId="0" fontId="11" fillId="3" borderId="27" xfId="0" applyFont="1" applyFill="1" applyBorder="1" applyAlignment="1" applyProtection="1">
      <alignment horizontal="center" vertical="center" wrapText="1"/>
      <protection locked="0"/>
    </xf>
    <xf numFmtId="0" fontId="11" fillId="3" borderId="40" xfId="0" applyFont="1" applyFill="1" applyBorder="1" applyAlignment="1" applyProtection="1">
      <alignment horizontal="center" vertical="center" wrapText="1"/>
      <protection locked="0"/>
    </xf>
    <xf numFmtId="0" fontId="11" fillId="3" borderId="20" xfId="0" applyFont="1" applyFill="1" applyBorder="1" applyAlignment="1" applyProtection="1">
      <alignment horizontal="center" vertical="center" wrapText="1"/>
      <protection locked="0"/>
    </xf>
    <xf numFmtId="0" fontId="28" fillId="3" borderId="20" xfId="0" applyFont="1" applyFill="1" applyBorder="1" applyAlignment="1" applyProtection="1">
      <alignment horizontal="center" vertical="center" wrapText="1"/>
      <protection locked="0"/>
    </xf>
    <xf numFmtId="3" fontId="4" fillId="0" borderId="11" xfId="0" applyNumberFormat="1" applyFont="1" applyBorder="1" applyAlignment="1" applyProtection="1">
      <alignment horizontal="center" vertical="center" wrapText="1"/>
      <protection locked="0"/>
    </xf>
    <xf numFmtId="9" fontId="5" fillId="0" borderId="11" xfId="1" applyFont="1" applyBorder="1" applyAlignment="1" applyProtection="1">
      <alignment horizontal="center" vertical="center" wrapText="1"/>
      <protection locked="0"/>
    </xf>
    <xf numFmtId="0" fontId="4" fillId="0" borderId="18" xfId="0" applyFont="1" applyBorder="1" applyAlignment="1" applyProtection="1">
      <alignment horizontal="left" vertical="center" wrapText="1"/>
      <protection locked="0"/>
    </xf>
    <xf numFmtId="0" fontId="35" fillId="0" borderId="59" xfId="0" applyFont="1" applyBorder="1" applyAlignment="1" applyProtection="1">
      <alignment horizontal="left" vertical="top" wrapText="1"/>
      <protection locked="0"/>
    </xf>
    <xf numFmtId="0" fontId="48" fillId="0" borderId="16" xfId="0" applyFont="1" applyBorder="1" applyAlignment="1" applyProtection="1">
      <alignment horizontal="left" vertical="top"/>
      <protection locked="0"/>
    </xf>
    <xf numFmtId="166" fontId="48" fillId="0" borderId="17" xfId="0" applyNumberFormat="1" applyFont="1" applyBorder="1" applyAlignment="1" applyProtection="1">
      <alignment horizontal="left" vertical="top"/>
      <protection locked="0"/>
    </xf>
    <xf numFmtId="0" fontId="35" fillId="0" borderId="28" xfId="0" applyFont="1" applyBorder="1" applyAlignment="1" applyProtection="1">
      <alignment horizontal="left" vertical="top" wrapText="1"/>
      <protection locked="0"/>
    </xf>
    <xf numFmtId="0" fontId="48" fillId="0" borderId="9" xfId="0" applyFont="1" applyBorder="1" applyAlignment="1" applyProtection="1">
      <alignment horizontal="left" vertical="top"/>
      <protection locked="0"/>
    </xf>
    <xf numFmtId="166" fontId="48" fillId="0" borderId="18" xfId="0" applyNumberFormat="1" applyFont="1" applyBorder="1" applyAlignment="1" applyProtection="1">
      <alignment horizontal="left" vertical="top"/>
      <protection locked="0"/>
    </xf>
    <xf numFmtId="0" fontId="35" fillId="0" borderId="36" xfId="0" applyFont="1" applyBorder="1" applyAlignment="1" applyProtection="1">
      <alignment horizontal="left" vertical="top" wrapText="1"/>
      <protection locked="0"/>
    </xf>
    <xf numFmtId="0" fontId="48" fillId="0" borderId="56" xfId="0" applyFont="1" applyBorder="1" applyAlignment="1" applyProtection="1">
      <alignment horizontal="left" vertical="top" wrapText="1"/>
      <protection locked="0"/>
    </xf>
    <xf numFmtId="168" fontId="48" fillId="0" borderId="18" xfId="0" applyNumberFormat="1" applyFont="1" applyBorder="1" applyAlignment="1" applyProtection="1">
      <alignment horizontal="left" vertical="top" wrapText="1"/>
      <protection locked="0"/>
    </xf>
    <xf numFmtId="0" fontId="35" fillId="0" borderId="0" xfId="0" applyFont="1" applyAlignment="1" applyProtection="1">
      <alignment horizontal="left" vertical="top" wrapText="1"/>
      <protection locked="0"/>
    </xf>
    <xf numFmtId="0" fontId="48" fillId="0" borderId="0" xfId="0" applyFont="1" applyAlignment="1" applyProtection="1">
      <alignment horizontal="left" vertical="top" wrapText="1"/>
      <protection locked="0"/>
    </xf>
    <xf numFmtId="0" fontId="33" fillId="0" borderId="0" xfId="0" applyFont="1" applyAlignment="1" applyProtection="1">
      <alignment horizontal="left" vertical="top" wrapText="1"/>
      <protection locked="0"/>
    </xf>
    <xf numFmtId="9" fontId="35" fillId="0" borderId="22" xfId="1" applyFont="1" applyBorder="1" applyAlignment="1" applyProtection="1">
      <alignment horizontal="left" vertical="top" wrapText="1"/>
      <protection locked="0"/>
    </xf>
    <xf numFmtId="166" fontId="48" fillId="0" borderId="17" xfId="0" applyNumberFormat="1" applyFont="1" applyBorder="1" applyAlignment="1" applyProtection="1">
      <alignment horizontal="left" vertical="top" wrapText="1"/>
      <protection locked="0"/>
    </xf>
    <xf numFmtId="166" fontId="48" fillId="0" borderId="18" xfId="0" applyNumberFormat="1" applyFont="1" applyBorder="1" applyAlignment="1" applyProtection="1">
      <alignment horizontal="left" vertical="top" wrapText="1"/>
      <protection locked="0"/>
    </xf>
    <xf numFmtId="0" fontId="35" fillId="0" borderId="59" xfId="0" applyFont="1" applyBorder="1" applyAlignment="1" applyProtection="1">
      <alignment horizontal="left" vertical="top"/>
      <protection locked="0"/>
    </xf>
    <xf numFmtId="0" fontId="35" fillId="0" borderId="28" xfId="0" applyFont="1" applyBorder="1" applyAlignment="1" applyProtection="1">
      <alignment horizontal="left" vertical="top"/>
      <protection locked="0"/>
    </xf>
    <xf numFmtId="0" fontId="35" fillId="0" borderId="36" xfId="0" applyFont="1" applyBorder="1" applyAlignment="1" applyProtection="1">
      <alignment horizontal="left" vertical="top"/>
      <protection locked="0"/>
    </xf>
    <xf numFmtId="0" fontId="48" fillId="0" borderId="56" xfId="0" applyFont="1" applyBorder="1" applyAlignment="1" applyProtection="1">
      <alignment horizontal="left" vertical="top"/>
      <protection locked="0"/>
    </xf>
    <xf numFmtId="0" fontId="4" fillId="0" borderId="41" xfId="0" applyFont="1" applyBorder="1" applyAlignment="1">
      <alignment horizontal="center" vertical="center" wrapText="1"/>
    </xf>
    <xf numFmtId="0" fontId="55" fillId="0" borderId="64" xfId="0" applyFont="1" applyBorder="1" applyAlignment="1">
      <alignment horizontal="center" vertical="center" wrapText="1"/>
    </xf>
    <xf numFmtId="0" fontId="4" fillId="0" borderId="64" xfId="0" applyFont="1" applyBorder="1" applyAlignment="1">
      <alignment horizontal="center" vertical="center" wrapText="1"/>
    </xf>
    <xf numFmtId="0" fontId="17" fillId="0" borderId="18" xfId="4" applyFont="1" applyBorder="1" applyAlignment="1" applyProtection="1">
      <alignment horizontal="left" vertical="center" wrapText="1"/>
    </xf>
    <xf numFmtId="0" fontId="3" fillId="0" borderId="65" xfId="0" applyFont="1" applyBorder="1" applyAlignment="1" applyProtection="1">
      <alignment horizontal="center" vertical="center" wrapText="1"/>
      <protection locked="0"/>
    </xf>
    <xf numFmtId="0" fontId="17" fillId="0" borderId="22" xfId="4" applyFont="1" applyBorder="1" applyAlignment="1" applyProtection="1">
      <alignment horizontal="left" vertical="center" wrapText="1"/>
    </xf>
    <xf numFmtId="0" fontId="4" fillId="0" borderId="33" xfId="0" applyFont="1" applyBorder="1" applyAlignment="1" applyProtection="1">
      <alignment horizontal="left" vertical="top" wrapText="1"/>
      <protection locked="0"/>
    </xf>
    <xf numFmtId="0" fontId="56" fillId="3" borderId="7" xfId="0" applyFont="1" applyFill="1" applyBorder="1" applyAlignment="1" applyProtection="1">
      <alignment horizontal="center" vertical="center" wrapText="1"/>
      <protection locked="0"/>
    </xf>
    <xf numFmtId="0" fontId="35" fillId="0" borderId="6" xfId="0" applyFont="1" applyBorder="1" applyAlignment="1" applyProtection="1">
      <alignment horizontal="left" vertical="top" wrapText="1"/>
      <protection locked="0"/>
    </xf>
    <xf numFmtId="0" fontId="35" fillId="0" borderId="66" xfId="0" applyFont="1" applyBorder="1" applyAlignment="1" applyProtection="1">
      <alignment horizontal="left" vertical="top" wrapText="1"/>
      <protection locked="0"/>
    </xf>
    <xf numFmtId="0" fontId="35" fillId="0" borderId="67" xfId="0" applyFont="1" applyBorder="1" applyAlignment="1" applyProtection="1">
      <alignment horizontal="left" vertical="top" wrapText="1"/>
      <protection locked="0"/>
    </xf>
    <xf numFmtId="0" fontId="3" fillId="0" borderId="68"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6" fillId="0" borderId="11" xfId="4" applyNumberFormat="1" applyFont="1" applyBorder="1" applyAlignment="1" applyProtection="1">
      <alignment horizontal="center" vertical="center" wrapText="1"/>
    </xf>
    <xf numFmtId="0" fontId="36" fillId="0" borderId="1" xfId="4" applyFont="1" applyBorder="1" applyAlignment="1" applyProtection="1">
      <alignment horizontal="center" vertical="center" wrapText="1"/>
    </xf>
    <xf numFmtId="0" fontId="65" fillId="0" borderId="11" xfId="4" applyNumberFormat="1" applyFont="1" applyBorder="1" applyAlignment="1" applyProtection="1">
      <alignment horizontal="center" vertical="center" wrapText="1"/>
    </xf>
    <xf numFmtId="0" fontId="65" fillId="0" borderId="1" xfId="4" applyNumberFormat="1" applyFont="1" applyBorder="1" applyAlignment="1" applyProtection="1">
      <alignment horizontal="center" vertical="center" wrapText="1"/>
    </xf>
    <xf numFmtId="9" fontId="65" fillId="0" borderId="11" xfId="1" applyFont="1" applyBorder="1" applyAlignment="1" applyProtection="1">
      <alignment horizontal="center" vertical="center" wrapText="1"/>
    </xf>
    <xf numFmtId="9" fontId="65" fillId="0" borderId="1" xfId="1" applyFont="1" applyBorder="1" applyAlignment="1" applyProtection="1">
      <alignment horizontal="center" vertical="center" wrapText="1"/>
    </xf>
    <xf numFmtId="0" fontId="4" fillId="0" borderId="10"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30" fillId="0" borderId="1" xfId="0" applyNumberFormat="1" applyFont="1" applyBorder="1" applyAlignment="1">
      <alignment horizontal="center" vertical="center" wrapText="1"/>
    </xf>
    <xf numFmtId="0" fontId="4" fillId="0" borderId="18" xfId="0" applyFont="1" applyBorder="1" applyAlignment="1">
      <alignment horizontal="left" vertical="center" wrapText="1"/>
    </xf>
    <xf numFmtId="9" fontId="42" fillId="6" borderId="1" xfId="1" applyFont="1" applyFill="1" applyBorder="1" applyAlignment="1" applyProtection="1">
      <alignment horizontal="center" vertical="center" wrapText="1"/>
      <protection locked="0"/>
    </xf>
    <xf numFmtId="9" fontId="40" fillId="6" borderId="1" xfId="1" applyFont="1" applyFill="1" applyBorder="1" applyAlignment="1" applyProtection="1">
      <alignment horizontal="center" vertical="center" wrapText="1"/>
      <protection locked="0"/>
    </xf>
    <xf numFmtId="9" fontId="42" fillId="6" borderId="10" xfId="1" applyFont="1" applyFill="1" applyBorder="1" applyAlignment="1" applyProtection="1">
      <alignment horizontal="center" vertical="center" wrapText="1"/>
      <protection locked="0"/>
    </xf>
    <xf numFmtId="9" fontId="40" fillId="6" borderId="10" xfId="1" applyFont="1" applyFill="1" applyBorder="1" applyAlignment="1" applyProtection="1">
      <alignment horizontal="center" vertical="center" wrapText="1"/>
      <protection locked="0"/>
    </xf>
    <xf numFmtId="0" fontId="8" fillId="0" borderId="71" xfId="0" applyFont="1" applyBorder="1" applyAlignment="1" applyProtection="1">
      <alignment horizontal="left" vertical="center" wrapText="1"/>
      <protection locked="0"/>
    </xf>
    <xf numFmtId="9" fontId="44" fillId="6" borderId="1" xfId="1" applyFont="1" applyFill="1" applyBorder="1" applyAlignment="1" applyProtection="1">
      <alignment horizontal="center" vertical="center" wrapText="1"/>
      <protection locked="0"/>
    </xf>
    <xf numFmtId="0" fontId="4" fillId="7" borderId="29" xfId="0" applyFont="1" applyFill="1" applyBorder="1" applyAlignment="1" applyProtection="1">
      <alignment horizontal="center" vertical="center" wrapText="1"/>
      <protection locked="0"/>
    </xf>
    <xf numFmtId="0" fontId="4" fillId="7" borderId="30" xfId="0" applyFont="1" applyFill="1" applyBorder="1" applyAlignment="1" applyProtection="1">
      <alignment horizontal="center" vertical="center" wrapText="1"/>
      <protection locked="0"/>
    </xf>
    <xf numFmtId="0" fontId="4" fillId="7" borderId="31" xfId="0" applyFont="1" applyFill="1" applyBorder="1" applyAlignment="1" applyProtection="1">
      <alignment horizontal="left" vertical="center" wrapText="1"/>
      <protection locked="0"/>
    </xf>
    <xf numFmtId="0" fontId="4" fillId="7" borderId="30" xfId="0" applyFont="1" applyFill="1" applyBorder="1" applyAlignment="1" applyProtection="1">
      <alignment horizontal="left" vertical="center" wrapText="1"/>
      <protection locked="0"/>
    </xf>
    <xf numFmtId="0" fontId="4" fillId="7" borderId="32" xfId="0" applyFont="1" applyFill="1" applyBorder="1" applyAlignment="1" applyProtection="1">
      <alignment horizontal="left" vertical="center" wrapText="1"/>
      <protection locked="0"/>
    </xf>
    <xf numFmtId="0" fontId="30" fillId="7" borderId="29" xfId="0" applyFont="1" applyFill="1" applyBorder="1" applyAlignment="1" applyProtection="1">
      <alignment horizontal="center" vertical="center" wrapText="1"/>
      <protection locked="0"/>
    </xf>
    <xf numFmtId="0" fontId="36" fillId="7" borderId="30" xfId="0" applyFont="1" applyFill="1" applyBorder="1" applyAlignment="1" applyProtection="1">
      <alignment horizontal="center" vertical="center" wrapText="1"/>
      <protection locked="0"/>
    </xf>
    <xf numFmtId="3" fontId="4" fillId="7" borderId="30" xfId="0" applyNumberFormat="1" applyFont="1" applyFill="1" applyBorder="1" applyAlignment="1" applyProtection="1">
      <alignment horizontal="center" vertical="center" wrapText="1"/>
      <protection locked="0"/>
    </xf>
    <xf numFmtId="9" fontId="40" fillId="7" borderId="32" xfId="0" applyNumberFormat="1" applyFont="1" applyFill="1" applyBorder="1" applyAlignment="1" applyProtection="1">
      <alignment horizontal="center" vertical="center" wrapText="1"/>
      <protection locked="0"/>
    </xf>
    <xf numFmtId="3" fontId="30" fillId="7" borderId="29" xfId="0" applyNumberFormat="1" applyFont="1" applyFill="1" applyBorder="1" applyAlignment="1" applyProtection="1">
      <alignment horizontal="center" vertical="center" wrapText="1"/>
      <protection locked="0"/>
    </xf>
    <xf numFmtId="9" fontId="40" fillId="7" borderId="30" xfId="0" applyNumberFormat="1" applyFont="1" applyFill="1" applyBorder="1" applyAlignment="1" applyProtection="1">
      <alignment horizontal="center" vertical="center" wrapText="1"/>
      <protection locked="0"/>
    </xf>
    <xf numFmtId="9" fontId="30" fillId="7" borderId="30" xfId="0" applyNumberFormat="1" applyFont="1" applyFill="1" applyBorder="1" applyAlignment="1" applyProtection="1">
      <alignment horizontal="center" vertical="center" wrapText="1"/>
      <protection locked="0"/>
    </xf>
    <xf numFmtId="0" fontId="64" fillId="0" borderId="0" xfId="0" applyFont="1" applyAlignment="1" applyProtection="1">
      <alignment horizontal="center" vertical="center" wrapText="1"/>
      <protection locked="0"/>
    </xf>
    <xf numFmtId="9" fontId="4" fillId="0" borderId="0" xfId="1" applyFont="1" applyAlignment="1" applyProtection="1">
      <alignment horizontal="center" vertical="center" wrapText="1"/>
      <protection locked="0"/>
    </xf>
    <xf numFmtId="0" fontId="57" fillId="0" borderId="0" xfId="0" applyFont="1" applyAlignment="1" applyProtection="1">
      <alignment horizontal="center" vertical="center" wrapText="1"/>
      <protection locked="0"/>
    </xf>
    <xf numFmtId="0" fontId="0" fillId="0" borderId="0" xfId="0" applyAlignment="1" applyProtection="1">
      <alignment wrapText="1"/>
      <protection locked="0"/>
    </xf>
    <xf numFmtId="0" fontId="33" fillId="0" borderId="52" xfId="0" applyFont="1" applyBorder="1" applyAlignment="1" applyProtection="1">
      <alignment horizontal="left" vertical="center" wrapText="1"/>
      <protection locked="0"/>
    </xf>
    <xf numFmtId="166" fontId="33" fillId="0" borderId="48" xfId="0" applyNumberFormat="1" applyFont="1" applyBorder="1" applyAlignment="1" applyProtection="1">
      <alignment horizontal="left" vertical="center" wrapText="1"/>
      <protection locked="0"/>
    </xf>
    <xf numFmtId="0" fontId="35" fillId="0" borderId="0" xfId="0" applyFont="1" applyAlignment="1" applyProtection="1">
      <alignment horizontal="left" vertical="center"/>
      <protection locked="0"/>
    </xf>
    <xf numFmtId="0" fontId="35" fillId="0" borderId="53" xfId="0" applyFont="1" applyBorder="1" applyAlignment="1" applyProtection="1">
      <alignment horizontal="left" vertical="center"/>
      <protection locked="0"/>
    </xf>
    <xf numFmtId="166" fontId="33" fillId="0" borderId="54" xfId="0" applyNumberFormat="1" applyFont="1" applyBorder="1" applyAlignment="1" applyProtection="1">
      <alignment horizontal="left" vertical="center" wrapText="1"/>
      <protection locked="0"/>
    </xf>
    <xf numFmtId="0" fontId="33" fillId="0" borderId="50" xfId="0" applyFont="1" applyBorder="1" applyAlignment="1" applyProtection="1">
      <alignment horizontal="left" vertical="center" wrapText="1"/>
      <protection locked="0"/>
    </xf>
    <xf numFmtId="0" fontId="35" fillId="0" borderId="50" xfId="0" applyFont="1" applyBorder="1" applyAlignment="1" applyProtection="1">
      <alignment horizontal="left" vertical="center" wrapText="1"/>
      <protection locked="0"/>
    </xf>
    <xf numFmtId="165" fontId="33" fillId="0" borderId="49" xfId="0" applyNumberFormat="1" applyFont="1" applyBorder="1" applyAlignment="1" applyProtection="1">
      <alignment horizontal="left" vertical="center" wrapText="1"/>
      <protection locked="0"/>
    </xf>
    <xf numFmtId="0" fontId="4" fillId="0" borderId="2" xfId="0" applyFont="1"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34" xfId="0" applyBorder="1" applyAlignment="1" applyProtection="1">
      <alignment horizontal="left" vertical="top" wrapText="1"/>
      <protection locked="0"/>
    </xf>
    <xf numFmtId="0" fontId="57" fillId="0" borderId="34" xfId="0" applyFont="1" applyBorder="1" applyAlignment="1" applyProtection="1">
      <alignment horizontal="center" vertical="center" wrapText="1"/>
      <protection locked="0"/>
    </xf>
    <xf numFmtId="0" fontId="63" fillId="0" borderId="34" xfId="0" applyFont="1" applyBorder="1" applyAlignment="1" applyProtection="1">
      <alignment horizontal="center" vertical="center" wrapText="1"/>
      <protection locked="0"/>
    </xf>
    <xf numFmtId="0" fontId="63" fillId="8" borderId="34" xfId="0" applyFont="1" applyFill="1" applyBorder="1" applyAlignment="1" applyProtection="1">
      <alignment horizontal="center" vertical="center" wrapText="1"/>
      <protection locked="0"/>
    </xf>
    <xf numFmtId="9" fontId="40" fillId="8" borderId="34" xfId="1" applyFont="1" applyFill="1" applyBorder="1" applyAlignment="1" applyProtection="1">
      <alignment horizontal="center" vertical="center" wrapText="1"/>
      <protection locked="0"/>
    </xf>
    <xf numFmtId="0" fontId="57"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protection locked="0"/>
    </xf>
    <xf numFmtId="3" fontId="14" fillId="0" borderId="1" xfId="0" applyNumberFormat="1" applyFont="1" applyBorder="1" applyAlignment="1" applyProtection="1">
      <alignment horizontal="center" vertical="center" wrapText="1"/>
      <protection locked="0"/>
    </xf>
    <xf numFmtId="3" fontId="4" fillId="0" borderId="1" xfId="0" applyNumberFormat="1" applyFont="1" applyBorder="1" applyAlignment="1" applyProtection="1">
      <alignment horizontal="center" vertical="center" wrapText="1"/>
      <protection locked="0"/>
    </xf>
    <xf numFmtId="3" fontId="4" fillId="6" borderId="1" xfId="0" applyNumberFormat="1" applyFont="1" applyFill="1" applyBorder="1" applyAlignment="1" applyProtection="1">
      <alignment horizontal="center" vertical="center" wrapText="1"/>
      <protection locked="0"/>
    </xf>
    <xf numFmtId="3" fontId="36" fillId="0" borderId="1" xfId="0" applyNumberFormat="1" applyFont="1" applyBorder="1" applyAlignment="1" applyProtection="1">
      <alignment horizontal="center" vertical="center" wrapText="1"/>
      <protection locked="0"/>
    </xf>
    <xf numFmtId="3" fontId="29" fillId="0" borderId="1" xfId="0" applyNumberFormat="1" applyFont="1" applyBorder="1" applyAlignment="1" applyProtection="1">
      <alignment horizontal="center" vertical="center" wrapText="1"/>
      <protection locked="0"/>
    </xf>
    <xf numFmtId="0" fontId="0" fillId="0" borderId="1"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63" fillId="0" borderId="9" xfId="0" applyFont="1" applyBorder="1" applyAlignment="1" applyProtection="1">
      <alignment horizontal="center" vertical="center" wrapText="1"/>
      <protection locked="0"/>
    </xf>
    <xf numFmtId="3" fontId="57" fillId="0" borderId="1" xfId="0" applyNumberFormat="1" applyFont="1" applyBorder="1" applyAlignment="1" applyProtection="1">
      <alignment horizontal="center" vertical="center" wrapText="1"/>
      <protection locked="0"/>
    </xf>
    <xf numFmtId="9" fontId="5" fillId="0" borderId="18" xfId="1" applyFont="1" applyBorder="1" applyAlignment="1" applyProtection="1">
      <alignment horizontal="left" vertical="center" wrapText="1"/>
      <protection locked="0"/>
    </xf>
    <xf numFmtId="0" fontId="0" fillId="0" borderId="10"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57" fillId="0" borderId="33" xfId="0" applyFont="1" applyBorder="1" applyAlignment="1" applyProtection="1">
      <alignment horizontal="center" vertical="center" wrapText="1"/>
      <protection locked="0"/>
    </xf>
    <xf numFmtId="0" fontId="63" fillId="0" borderId="12" xfId="0" applyFont="1" applyBorder="1" applyAlignment="1" applyProtection="1">
      <alignment horizontal="center" vertical="center" wrapText="1"/>
      <protection locked="0"/>
    </xf>
    <xf numFmtId="0" fontId="63" fillId="8" borderId="33" xfId="0" applyFont="1" applyFill="1" applyBorder="1" applyAlignment="1" applyProtection="1">
      <alignment horizontal="center" vertical="center" wrapText="1"/>
      <protection locked="0"/>
    </xf>
    <xf numFmtId="9" fontId="40" fillId="8" borderId="33" xfId="1" applyFont="1" applyFill="1" applyBorder="1" applyAlignment="1" applyProtection="1">
      <alignment horizontal="center" vertical="center" wrapText="1"/>
      <protection locked="0"/>
    </xf>
    <xf numFmtId="0" fontId="57" fillId="0" borderId="10" xfId="0" applyFont="1" applyBorder="1" applyAlignment="1" applyProtection="1">
      <alignment horizontal="center" vertical="center" wrapText="1"/>
      <protection locked="0"/>
    </xf>
    <xf numFmtId="0" fontId="4" fillId="6" borderId="10" xfId="0" applyFont="1" applyFill="1" applyBorder="1" applyAlignment="1" applyProtection="1">
      <alignment horizontal="center" vertical="center" wrapText="1"/>
      <protection locked="0"/>
    </xf>
    <xf numFmtId="3" fontId="14" fillId="0" borderId="10" xfId="0" applyNumberFormat="1" applyFont="1" applyBorder="1" applyAlignment="1" applyProtection="1">
      <alignment horizontal="center" vertical="center" wrapText="1"/>
      <protection locked="0"/>
    </xf>
    <xf numFmtId="3" fontId="4" fillId="0" borderId="10" xfId="0" applyNumberFormat="1" applyFont="1" applyBorder="1" applyAlignment="1" applyProtection="1">
      <alignment horizontal="center" vertical="center" wrapText="1"/>
      <protection locked="0"/>
    </xf>
    <xf numFmtId="3" fontId="4" fillId="6" borderId="10" xfId="0" applyNumberFormat="1" applyFont="1" applyFill="1" applyBorder="1" applyAlignment="1" applyProtection="1">
      <alignment horizontal="center" vertical="center" wrapText="1"/>
      <protection locked="0"/>
    </xf>
    <xf numFmtId="3" fontId="36" fillId="0" borderId="10" xfId="0" applyNumberFormat="1" applyFont="1" applyBorder="1" applyAlignment="1" applyProtection="1">
      <alignment horizontal="center" vertical="center" wrapText="1"/>
      <protection locked="0"/>
    </xf>
    <xf numFmtId="3" fontId="29" fillId="0" borderId="10" xfId="0" applyNumberFormat="1" applyFont="1" applyBorder="1" applyAlignment="1" applyProtection="1">
      <alignment horizontal="center" vertical="center" wrapText="1"/>
      <protection locked="0"/>
    </xf>
    <xf numFmtId="9" fontId="5" fillId="0" borderId="10" xfId="1" applyFont="1" applyBorder="1" applyAlignment="1" applyProtection="1">
      <alignment horizontal="center" vertical="center" wrapText="1"/>
      <protection locked="0"/>
    </xf>
    <xf numFmtId="0" fontId="39" fillId="0" borderId="0" xfId="0" applyFont="1" applyAlignment="1" applyProtection="1">
      <alignment horizontal="center" vertical="center" wrapText="1"/>
      <protection locked="0"/>
    </xf>
    <xf numFmtId="0" fontId="18" fillId="0" borderId="11" xfId="4" applyFont="1" applyBorder="1" applyAlignment="1" applyProtection="1">
      <alignment horizontal="left" vertical="center" wrapText="1"/>
      <protection locked="0"/>
    </xf>
    <xf numFmtId="0" fontId="4" fillId="0" borderId="53" xfId="0" applyFont="1" applyBorder="1" applyAlignment="1" applyProtection="1">
      <alignment horizontal="center" vertical="center" wrapText="1"/>
      <protection locked="0"/>
    </xf>
    <xf numFmtId="0" fontId="18" fillId="0" borderId="1" xfId="4" applyFont="1" applyBorder="1" applyAlignment="1" applyProtection="1">
      <alignment horizontal="left" vertical="center" wrapText="1"/>
      <protection locked="0"/>
    </xf>
    <xf numFmtId="0" fontId="67" fillId="0" borderId="11" xfId="0" applyFont="1" applyBorder="1" applyAlignment="1">
      <alignment horizontal="center" vertical="center" wrapText="1"/>
    </xf>
    <xf numFmtId="0" fontId="4" fillId="0" borderId="11" xfId="0" applyFont="1" applyBorder="1" applyAlignment="1">
      <alignment horizontal="center" vertical="center" wrapText="1"/>
    </xf>
    <xf numFmtId="9" fontId="40" fillId="0" borderId="11" xfId="1" applyFont="1" applyBorder="1" applyAlignment="1" applyProtection="1">
      <alignment horizontal="center" vertical="center" wrapText="1"/>
    </xf>
    <xf numFmtId="0" fontId="65" fillId="0" borderId="11" xfId="1" applyNumberFormat="1" applyFont="1" applyBorder="1" applyAlignment="1" applyProtection="1">
      <alignment horizontal="center" vertical="center" wrapText="1"/>
    </xf>
    <xf numFmtId="0" fontId="48" fillId="0" borderId="11" xfId="1" applyNumberFormat="1" applyFont="1" applyBorder="1" applyAlignment="1" applyProtection="1">
      <alignment horizontal="center" vertical="center" wrapText="1"/>
    </xf>
    <xf numFmtId="165" fontId="9" fillId="0" borderId="11" xfId="0" applyNumberFormat="1" applyFont="1" applyBorder="1" applyAlignment="1">
      <alignment horizontal="center" vertical="center"/>
    </xf>
    <xf numFmtId="165" fontId="14" fillId="0" borderId="11" xfId="0" applyNumberFormat="1" applyFont="1" applyBorder="1" applyAlignment="1">
      <alignment horizontal="center" vertical="center"/>
    </xf>
    <xf numFmtId="9" fontId="65" fillId="0" borderId="34" xfId="1" applyFont="1" applyBorder="1" applyAlignment="1" applyProtection="1">
      <alignment horizontal="center" vertical="center" wrapText="1"/>
    </xf>
    <xf numFmtId="165" fontId="69" fillId="0" borderId="25" xfId="5" applyNumberFormat="1" applyFont="1" applyBorder="1" applyAlignment="1" applyProtection="1">
      <alignment horizontal="center" vertical="center"/>
    </xf>
    <xf numFmtId="9" fontId="5" fillId="0" borderId="37" xfId="1" applyFont="1" applyBorder="1" applyAlignment="1" applyProtection="1">
      <alignment horizontal="center" vertical="center" wrapText="1"/>
    </xf>
    <xf numFmtId="0" fontId="64" fillId="0" borderId="0" xfId="0" applyFont="1" applyAlignment="1">
      <alignment horizontal="center" vertical="center" wrapText="1"/>
    </xf>
    <xf numFmtId="0" fontId="36" fillId="0" borderId="0" xfId="0" applyFont="1" applyAlignment="1">
      <alignment horizontal="center" vertical="center" wrapText="1"/>
    </xf>
    <xf numFmtId="165" fontId="66" fillId="0" borderId="0" xfId="0" applyNumberFormat="1" applyFont="1" applyAlignment="1">
      <alignment horizontal="center" vertical="center" wrapText="1"/>
    </xf>
    <xf numFmtId="0" fontId="37" fillId="0" borderId="0" xfId="0" applyFont="1" applyAlignment="1">
      <alignment horizontal="center" vertical="center" wrapText="1"/>
    </xf>
    <xf numFmtId="0" fontId="57" fillId="0" borderId="0" xfId="0" applyFont="1" applyAlignment="1">
      <alignment horizontal="center" vertical="center" wrapText="1"/>
    </xf>
    <xf numFmtId="0" fontId="66" fillId="0" borderId="0" xfId="0" applyFont="1" applyAlignment="1">
      <alignment horizontal="center" vertical="center" wrapText="1"/>
    </xf>
    <xf numFmtId="165" fontId="4" fillId="0" borderId="0" xfId="0" applyNumberFormat="1" applyFont="1" applyAlignment="1">
      <alignment horizontal="center" vertical="center" wrapText="1"/>
    </xf>
    <xf numFmtId="0" fontId="4" fillId="0" borderId="54" xfId="0" applyFont="1" applyBorder="1" applyAlignment="1">
      <alignment horizontal="center" vertical="center" wrapText="1"/>
    </xf>
    <xf numFmtId="0" fontId="67" fillId="0" borderId="1" xfId="5" applyNumberFormat="1" applyFont="1" applyBorder="1" applyAlignment="1" applyProtection="1">
      <alignment horizontal="center" vertical="center" wrapText="1"/>
    </xf>
    <xf numFmtId="9" fontId="40" fillId="0" borderId="1" xfId="1" applyFont="1" applyBorder="1" applyAlignment="1" applyProtection="1">
      <alignment horizontal="center" vertical="center" wrapText="1"/>
    </xf>
    <xf numFmtId="0" fontId="65" fillId="0" borderId="1" xfId="1" applyNumberFormat="1" applyFont="1" applyBorder="1" applyAlignment="1" applyProtection="1">
      <alignment horizontal="center" vertical="center" wrapText="1"/>
    </xf>
    <xf numFmtId="0" fontId="48" fillId="0" borderId="1" xfId="1" applyNumberFormat="1" applyFont="1" applyBorder="1" applyAlignment="1" applyProtection="1">
      <alignment horizontal="center" vertical="center" wrapText="1"/>
    </xf>
    <xf numFmtId="0" fontId="67" fillId="0" borderId="1" xfId="0" applyFont="1" applyBorder="1" applyAlignment="1">
      <alignment horizontal="center" vertical="center" wrapText="1"/>
    </xf>
    <xf numFmtId="165" fontId="9" fillId="0" borderId="1" xfId="0" applyNumberFormat="1" applyFont="1" applyBorder="1" applyAlignment="1">
      <alignment horizontal="center" vertical="center"/>
    </xf>
    <xf numFmtId="165" fontId="14" fillId="0" borderId="1" xfId="0" applyNumberFormat="1" applyFont="1" applyBorder="1" applyAlignment="1">
      <alignment horizontal="center" vertical="center"/>
    </xf>
    <xf numFmtId="9" fontId="65" fillId="0" borderId="9" xfId="1" applyFont="1" applyBorder="1" applyAlignment="1" applyProtection="1">
      <alignment horizontal="center" vertical="center" wrapText="1"/>
    </xf>
    <xf numFmtId="9" fontId="5" fillId="0" borderId="18" xfId="1" applyFont="1" applyBorder="1" applyAlignment="1" applyProtection="1">
      <alignment horizontal="center" vertical="center" wrapText="1"/>
    </xf>
    <xf numFmtId="165" fontId="69" fillId="0" borderId="28" xfId="5" applyNumberFormat="1" applyFont="1" applyBorder="1" applyAlignment="1" applyProtection="1">
      <alignment horizontal="center" vertical="center"/>
    </xf>
    <xf numFmtId="165" fontId="69" fillId="0" borderId="28" xfId="0" applyNumberFormat="1" applyFont="1" applyBorder="1" applyAlignment="1">
      <alignment horizontal="center" vertical="center"/>
    </xf>
    <xf numFmtId="167" fontId="4" fillId="0" borderId="54" xfId="5" applyNumberFormat="1" applyFont="1" applyBorder="1" applyAlignment="1" applyProtection="1">
      <alignment horizontal="center" vertical="center" wrapText="1"/>
    </xf>
    <xf numFmtId="9" fontId="64" fillId="0" borderId="0" xfId="1" applyFont="1" applyAlignment="1" applyProtection="1">
      <alignment horizontal="center" vertical="center" wrapText="1"/>
    </xf>
    <xf numFmtId="0" fontId="68" fillId="2" borderId="27" xfId="0" applyFont="1" applyFill="1" applyBorder="1" applyAlignment="1">
      <alignment horizontal="center" vertical="center" wrapText="1"/>
    </xf>
    <xf numFmtId="0" fontId="70" fillId="2" borderId="27" xfId="0" applyFont="1" applyFill="1" applyBorder="1" applyAlignment="1">
      <alignment horizontal="center" vertical="center" wrapText="1"/>
    </xf>
    <xf numFmtId="9" fontId="68" fillId="2" borderId="27" xfId="1" applyFont="1" applyFill="1" applyBorder="1" applyAlignment="1" applyProtection="1">
      <alignment horizontal="center" vertical="center" wrapText="1"/>
    </xf>
    <xf numFmtId="0" fontId="41" fillId="2" borderId="27" xfId="0" applyFont="1" applyFill="1" applyBorder="1" applyAlignment="1">
      <alignment horizontal="center" vertical="center" wrapText="1"/>
    </xf>
    <xf numFmtId="9" fontId="41" fillId="2" borderId="27" xfId="1" applyFont="1" applyFill="1" applyBorder="1" applyAlignment="1" applyProtection="1">
      <alignment horizontal="center" vertical="center" wrapText="1"/>
    </xf>
    <xf numFmtId="0" fontId="68" fillId="2" borderId="27" xfId="1" applyNumberFormat="1" applyFont="1" applyFill="1" applyBorder="1" applyAlignment="1" applyProtection="1">
      <alignment horizontal="center" vertical="center" wrapText="1"/>
    </xf>
    <xf numFmtId="0" fontId="61" fillId="2" borderId="27" xfId="1" applyNumberFormat="1" applyFont="1" applyFill="1" applyBorder="1" applyAlignment="1" applyProtection="1">
      <alignment horizontal="center" vertical="center" wrapText="1"/>
    </xf>
    <xf numFmtId="165" fontId="71" fillId="2" borderId="27" xfId="0" applyNumberFormat="1" applyFont="1" applyFill="1" applyBorder="1" applyAlignment="1">
      <alignment horizontal="center" vertical="center"/>
    </xf>
    <xf numFmtId="165" fontId="61" fillId="2" borderId="27" xfId="0" applyNumberFormat="1" applyFont="1" applyFill="1" applyBorder="1" applyAlignment="1">
      <alignment horizontal="center" vertical="center"/>
    </xf>
    <xf numFmtId="9" fontId="68" fillId="2" borderId="56" xfId="1" applyFont="1" applyFill="1" applyBorder="1" applyAlignment="1" applyProtection="1">
      <alignment horizontal="center" vertical="center" wrapText="1"/>
    </xf>
    <xf numFmtId="165" fontId="41" fillId="2" borderId="36" xfId="0" applyNumberFormat="1" applyFont="1" applyFill="1" applyBorder="1" applyAlignment="1">
      <alignment horizontal="center" vertical="center"/>
    </xf>
    <xf numFmtId="9" fontId="71" fillId="2" borderId="22" xfId="1" applyFont="1" applyFill="1" applyBorder="1" applyAlignment="1" applyProtection="1">
      <alignment horizontal="center" vertical="center" wrapText="1"/>
    </xf>
    <xf numFmtId="0" fontId="49" fillId="0" borderId="0" xfId="0" applyFont="1"/>
    <xf numFmtId="0" fontId="33" fillId="0" borderId="0" xfId="0" applyFont="1" applyAlignment="1">
      <alignment horizontal="left" vertical="center" wrapText="1"/>
    </xf>
    <xf numFmtId="0" fontId="25" fillId="0" borderId="0" xfId="0" applyFont="1"/>
    <xf numFmtId="9" fontId="35" fillId="0" borderId="0" xfId="1" applyFont="1" applyBorder="1" applyAlignment="1" applyProtection="1">
      <alignment horizontal="left" vertical="center" wrapText="1"/>
    </xf>
    <xf numFmtId="0" fontId="4" fillId="0" borderId="0" xfId="0" applyFont="1" applyAlignment="1">
      <alignment vertical="center" wrapText="1"/>
    </xf>
    <xf numFmtId="0" fontId="4" fillId="5" borderId="46" xfId="0" applyFont="1" applyFill="1" applyBorder="1" applyAlignment="1">
      <alignment horizontal="center" vertical="center" wrapText="1"/>
    </xf>
    <xf numFmtId="0" fontId="4" fillId="5" borderId="47"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39"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4" fillId="0" borderId="2" xfId="0" applyFont="1" applyBorder="1" applyAlignment="1">
      <alignment horizontal="center" vertical="center" wrapText="1"/>
    </xf>
    <xf numFmtId="0" fontId="32" fillId="0" borderId="2" xfId="0" applyFont="1" applyBorder="1" applyAlignment="1">
      <alignment horizontal="left" vertical="top" wrapText="1"/>
    </xf>
    <xf numFmtId="0" fontId="5" fillId="0" borderId="11" xfId="0" applyFont="1" applyBorder="1" applyAlignment="1">
      <alignment horizontal="center" vertical="center" wrapText="1"/>
    </xf>
    <xf numFmtId="9" fontId="42" fillId="0" borderId="11" xfId="1" applyFont="1" applyBorder="1" applyAlignment="1" applyProtection="1">
      <alignment horizontal="center" vertical="center" wrapText="1"/>
    </xf>
    <xf numFmtId="3" fontId="9" fillId="0" borderId="11"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30" fillId="0" borderId="11" xfId="0" applyNumberFormat="1" applyFont="1" applyBorder="1" applyAlignment="1">
      <alignment horizontal="center" vertical="center" wrapText="1"/>
    </xf>
    <xf numFmtId="9" fontId="5" fillId="0" borderId="11" xfId="1" applyFont="1" applyBorder="1" applyAlignment="1" applyProtection="1">
      <alignment horizontal="center" vertical="center" wrapText="1"/>
    </xf>
    <xf numFmtId="9" fontId="4" fillId="0" borderId="11" xfId="1" applyFont="1" applyBorder="1" applyAlignment="1" applyProtection="1">
      <alignment horizontal="center" vertical="center" wrapText="1"/>
    </xf>
    <xf numFmtId="0" fontId="33" fillId="0" borderId="2" xfId="0" applyFont="1" applyBorder="1" applyAlignment="1">
      <alignment horizontal="left" vertical="top" wrapText="1"/>
    </xf>
    <xf numFmtId="9" fontId="42" fillId="0" borderId="1" xfId="1" applyFont="1" applyBorder="1" applyAlignment="1" applyProtection="1">
      <alignment horizontal="center" vertical="center" wrapText="1"/>
    </xf>
    <xf numFmtId="9" fontId="5" fillId="0" borderId="1" xfId="1" applyFont="1" applyBorder="1" applyAlignment="1" applyProtection="1">
      <alignment horizontal="center" vertical="center" wrapText="1"/>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left" vertical="center" wrapText="1"/>
    </xf>
    <xf numFmtId="0" fontId="23" fillId="2" borderId="8" xfId="0" applyFont="1" applyFill="1" applyBorder="1" applyAlignment="1">
      <alignment horizontal="center" vertical="center" wrapText="1"/>
    </xf>
    <xf numFmtId="0" fontId="4" fillId="2" borderId="30"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0" fillId="2" borderId="20" xfId="0" applyFill="1" applyBorder="1" applyAlignment="1">
      <alignment wrapText="1"/>
    </xf>
    <xf numFmtId="0" fontId="0" fillId="2" borderId="21" xfId="0" applyFill="1" applyBorder="1" applyAlignment="1">
      <alignment wrapText="1"/>
    </xf>
    <xf numFmtId="0" fontId="30" fillId="2" borderId="23" xfId="0" applyFont="1" applyFill="1" applyBorder="1" applyAlignment="1">
      <alignment horizontal="center" vertical="center" wrapText="1"/>
    </xf>
    <xf numFmtId="0" fontId="36" fillId="2" borderId="20" xfId="0" applyFont="1" applyFill="1" applyBorder="1" applyAlignment="1">
      <alignment horizontal="center" vertical="center" wrapText="1"/>
    </xf>
    <xf numFmtId="9" fontId="42" fillId="2" borderId="39" xfId="0" applyNumberFormat="1" applyFont="1" applyFill="1" applyBorder="1" applyAlignment="1">
      <alignment horizontal="center" vertical="center" wrapText="1"/>
    </xf>
    <xf numFmtId="0" fontId="4" fillId="2" borderId="20" xfId="0" applyFont="1" applyFill="1" applyBorder="1" applyAlignment="1">
      <alignment horizontal="center" vertical="center" wrapText="1"/>
    </xf>
    <xf numFmtId="3" fontId="9" fillId="2" borderId="23" xfId="0" applyNumberFormat="1" applyFont="1" applyFill="1" applyBorder="1" applyAlignment="1">
      <alignment horizontal="center" vertical="center" wrapText="1"/>
    </xf>
    <xf numFmtId="3" fontId="4" fillId="2" borderId="20" xfId="0" applyNumberFormat="1" applyFont="1" applyFill="1" applyBorder="1" applyAlignment="1">
      <alignment horizontal="center" vertical="center" wrapText="1"/>
    </xf>
    <xf numFmtId="9" fontId="40" fillId="2" borderId="39" xfId="0" applyNumberFormat="1" applyFont="1" applyFill="1" applyBorder="1" applyAlignment="1">
      <alignment horizontal="center" vertical="center" wrapText="1"/>
    </xf>
    <xf numFmtId="3" fontId="30" fillId="2" borderId="23" xfId="0" applyNumberFormat="1" applyFont="1" applyFill="1" applyBorder="1" applyAlignment="1">
      <alignment horizontal="center" vertical="center" wrapText="1"/>
    </xf>
    <xf numFmtId="3" fontId="14" fillId="2" borderId="20" xfId="0" applyNumberFormat="1" applyFont="1" applyFill="1" applyBorder="1" applyAlignment="1">
      <alignment horizontal="center" vertical="center" wrapText="1"/>
    </xf>
    <xf numFmtId="9" fontId="40" fillId="2" borderId="20" xfId="0" applyNumberFormat="1" applyFont="1" applyFill="1" applyBorder="1" applyAlignment="1">
      <alignment horizontal="center" vertical="center" wrapText="1"/>
    </xf>
    <xf numFmtId="9" fontId="30" fillId="2" borderId="20" xfId="0" applyNumberFormat="1" applyFont="1" applyFill="1" applyBorder="1" applyAlignment="1">
      <alignment horizontal="center" vertical="center" wrapText="1"/>
    </xf>
    <xf numFmtId="0" fontId="4" fillId="2" borderId="39" xfId="0" applyFont="1" applyFill="1" applyBorder="1" applyAlignment="1">
      <alignment horizontal="left" vertical="center" wrapText="1"/>
    </xf>
    <xf numFmtId="0" fontId="33" fillId="0" borderId="52" xfId="0" applyFont="1" applyBorder="1" applyAlignment="1" applyProtection="1">
      <alignment horizontal="left" vertical="center"/>
      <protection locked="0"/>
    </xf>
    <xf numFmtId="166" fontId="33" fillId="0" borderId="48" xfId="0" applyNumberFormat="1" applyFont="1" applyBorder="1" applyAlignment="1" applyProtection="1">
      <alignment horizontal="left" vertical="center"/>
      <protection locked="0"/>
    </xf>
    <xf numFmtId="0" fontId="33" fillId="0" borderId="0" xfId="0" applyFont="1" applyAlignment="1" applyProtection="1">
      <alignment horizontal="left" vertical="center"/>
      <protection locked="0"/>
    </xf>
    <xf numFmtId="166" fontId="33" fillId="0" borderId="54" xfId="0" applyNumberFormat="1" applyFont="1" applyBorder="1" applyAlignment="1" applyProtection="1">
      <alignment horizontal="left" vertical="center"/>
      <protection locked="0"/>
    </xf>
    <xf numFmtId="167" fontId="33" fillId="0" borderId="49" xfId="0" applyNumberFormat="1" applyFont="1" applyBorder="1" applyAlignment="1" applyProtection="1">
      <alignment horizontal="left" vertical="center" wrapText="1"/>
      <protection locked="0"/>
    </xf>
    <xf numFmtId="0" fontId="7" fillId="9" borderId="32" xfId="0" applyFont="1" applyFill="1" applyBorder="1" applyAlignment="1">
      <alignment horizontal="left" vertical="center" wrapText="1"/>
    </xf>
    <xf numFmtId="0" fontId="4" fillId="0" borderId="4" xfId="0" applyFont="1" applyBorder="1" applyAlignment="1" applyProtection="1">
      <alignment horizontal="center" vertical="center" wrapText="1"/>
      <protection locked="0"/>
    </xf>
    <xf numFmtId="9" fontId="5" fillId="9" borderId="30" xfId="0" applyNumberFormat="1" applyFont="1" applyFill="1" applyBorder="1" applyAlignment="1">
      <alignment horizontal="center" vertical="center" wrapText="1"/>
    </xf>
    <xf numFmtId="0" fontId="4" fillId="0" borderId="33" xfId="0" applyFont="1" applyBorder="1" applyAlignment="1" applyProtection="1">
      <alignment horizontal="center" vertical="center" wrapText="1"/>
      <protection locked="0"/>
    </xf>
    <xf numFmtId="0" fontId="63" fillId="6" borderId="34" xfId="0" applyFont="1" applyFill="1" applyBorder="1" applyAlignment="1" applyProtection="1">
      <alignment horizontal="center" vertical="center" wrapText="1"/>
      <protection locked="0"/>
    </xf>
    <xf numFmtId="9" fontId="44" fillId="6" borderId="34" xfId="1" applyFont="1" applyFill="1" applyBorder="1" applyAlignment="1" applyProtection="1">
      <alignment horizontal="center" vertical="center" wrapText="1"/>
      <protection locked="0"/>
    </xf>
    <xf numFmtId="0" fontId="62" fillId="10" borderId="1" xfId="0" applyFont="1" applyFill="1" applyBorder="1" applyAlignment="1" applyProtection="1">
      <alignment horizontal="center" vertical="center" wrapText="1"/>
      <protection locked="0"/>
    </xf>
    <xf numFmtId="9" fontId="42" fillId="10" borderId="1" xfId="1" applyFont="1" applyFill="1" applyBorder="1" applyAlignment="1" applyProtection="1">
      <alignment horizontal="center" vertical="center" wrapText="1"/>
      <protection locked="0"/>
    </xf>
    <xf numFmtId="9" fontId="44" fillId="6" borderId="33" xfId="1" applyFont="1" applyFill="1" applyBorder="1" applyAlignment="1" applyProtection="1">
      <alignment horizontal="center" vertical="center" wrapText="1"/>
      <protection locked="0"/>
    </xf>
    <xf numFmtId="9" fontId="42" fillId="10" borderId="10" xfId="1" applyFont="1" applyFill="1" applyBorder="1" applyAlignment="1" applyProtection="1">
      <alignment horizontal="center" vertical="center" wrapText="1"/>
      <protection locked="0"/>
    </xf>
    <xf numFmtId="0" fontId="4" fillId="11" borderId="1" xfId="0" applyFont="1" applyFill="1" applyBorder="1" applyAlignment="1" applyProtection="1">
      <alignment horizontal="center" vertical="center" wrapText="1"/>
      <protection locked="0"/>
    </xf>
    <xf numFmtId="9" fontId="42" fillId="11" borderId="1" xfId="1" applyFont="1" applyFill="1" applyBorder="1" applyAlignment="1" applyProtection="1">
      <alignment horizontal="center" vertical="center" wrapText="1"/>
      <protection locked="0"/>
    </xf>
    <xf numFmtId="9" fontId="42" fillId="11" borderId="10" xfId="1" applyFont="1" applyFill="1" applyBorder="1" applyAlignment="1" applyProtection="1">
      <alignment horizontal="center" vertical="center" wrapText="1"/>
      <protection locked="0"/>
    </xf>
    <xf numFmtId="9" fontId="43" fillId="6" borderId="1" xfId="1" applyFont="1" applyFill="1" applyBorder="1" applyAlignment="1" applyProtection="1">
      <alignment horizontal="center" vertical="center" wrapText="1"/>
      <protection locked="0"/>
    </xf>
    <xf numFmtId="0" fontId="30" fillId="0" borderId="0" xfId="0" applyFont="1" applyAlignment="1" applyProtection="1">
      <alignment horizontal="center" vertical="center" wrapText="1"/>
      <protection locked="0"/>
    </xf>
    <xf numFmtId="9" fontId="66" fillId="0" borderId="0" xfId="0" applyNumberFormat="1" applyFont="1" applyAlignment="1" applyProtection="1">
      <alignment horizontal="center" vertical="center" wrapText="1"/>
      <protection locked="0"/>
    </xf>
    <xf numFmtId="9" fontId="4" fillId="0" borderId="0" xfId="0" applyNumberFormat="1" applyFont="1" applyAlignment="1" applyProtection="1">
      <alignment horizontal="center" vertical="center" wrapText="1"/>
      <protection locked="0"/>
    </xf>
    <xf numFmtId="0" fontId="29" fillId="0" borderId="1" xfId="0" applyFont="1" applyBorder="1" applyAlignment="1" applyProtection="1">
      <alignment horizontal="center" vertical="center" wrapText="1"/>
      <protection locked="0"/>
    </xf>
    <xf numFmtId="0" fontId="4" fillId="7" borderId="29" xfId="0" applyFont="1" applyFill="1" applyBorder="1" applyAlignment="1">
      <alignment horizontal="center" vertical="center" wrapText="1"/>
    </xf>
    <xf numFmtId="0" fontId="4" fillId="7" borderId="30" xfId="0" applyFont="1" applyFill="1" applyBorder="1" applyAlignment="1">
      <alignment horizontal="left" vertical="top" wrapText="1"/>
    </xf>
    <xf numFmtId="0" fontId="4" fillId="7" borderId="31" xfId="0" applyFont="1" applyFill="1" applyBorder="1" applyAlignment="1">
      <alignment horizontal="left" vertical="top" wrapText="1"/>
    </xf>
    <xf numFmtId="0" fontId="23" fillId="7" borderId="8" xfId="0" applyFont="1" applyFill="1" applyBorder="1" applyAlignment="1">
      <alignment horizontal="left" vertical="top" wrapText="1"/>
    </xf>
    <xf numFmtId="0" fontId="4" fillId="7" borderId="32" xfId="0" applyFont="1" applyFill="1" applyBorder="1" applyAlignment="1">
      <alignment horizontal="left" vertical="top" wrapText="1"/>
    </xf>
    <xf numFmtId="0" fontId="0" fillId="7" borderId="30" xfId="0" applyFill="1" applyBorder="1" applyAlignment="1">
      <alignment horizontal="left" vertical="top" wrapText="1"/>
    </xf>
    <xf numFmtId="0" fontId="0" fillId="7" borderId="31" xfId="0" applyFill="1" applyBorder="1" applyAlignment="1">
      <alignment horizontal="left" vertical="top" wrapText="1"/>
    </xf>
    <xf numFmtId="0" fontId="31" fillId="7" borderId="31" xfId="0" applyFont="1" applyFill="1" applyBorder="1" applyAlignment="1">
      <alignment horizontal="center" vertical="center" wrapText="1"/>
    </xf>
    <xf numFmtId="9" fontId="53" fillId="7" borderId="31" xfId="0" applyNumberFormat="1" applyFont="1" applyFill="1" applyBorder="1" applyAlignment="1">
      <alignment horizontal="center" vertical="center" wrapText="1"/>
    </xf>
    <xf numFmtId="0" fontId="32" fillId="7" borderId="29" xfId="0" applyFont="1" applyFill="1" applyBorder="1" applyAlignment="1">
      <alignment horizontal="center" vertical="center" wrapText="1"/>
    </xf>
    <xf numFmtId="0" fontId="28" fillId="7" borderId="30" xfId="0" applyFont="1" applyFill="1" applyBorder="1" applyAlignment="1">
      <alignment horizontal="center" vertical="center" wrapText="1"/>
    </xf>
    <xf numFmtId="9" fontId="53" fillId="7" borderId="32" xfId="0" applyNumberFormat="1" applyFont="1" applyFill="1" applyBorder="1" applyAlignment="1">
      <alignment horizontal="center" vertical="center" wrapText="1"/>
    </xf>
    <xf numFmtId="0" fontId="31" fillId="7" borderId="30" xfId="0" applyFont="1" applyFill="1" applyBorder="1" applyAlignment="1">
      <alignment horizontal="center" vertical="center" wrapText="1"/>
    </xf>
    <xf numFmtId="3" fontId="32" fillId="7" borderId="29" xfId="0" applyNumberFormat="1" applyFont="1" applyFill="1" applyBorder="1" applyAlignment="1">
      <alignment horizontal="center" vertical="center" wrapText="1"/>
    </xf>
    <xf numFmtId="3" fontId="31" fillId="7" borderId="30" xfId="0" applyNumberFormat="1" applyFont="1" applyFill="1" applyBorder="1" applyAlignment="1">
      <alignment horizontal="center" vertical="center" wrapText="1"/>
    </xf>
    <xf numFmtId="3" fontId="28" fillId="7" borderId="30" xfId="0" applyNumberFormat="1" applyFont="1" applyFill="1" applyBorder="1" applyAlignment="1">
      <alignment horizontal="center" vertical="center" wrapText="1"/>
    </xf>
    <xf numFmtId="9" fontId="53" fillId="7" borderId="30" xfId="0" applyNumberFormat="1" applyFont="1" applyFill="1" applyBorder="1" applyAlignment="1">
      <alignment horizontal="center" vertical="center" wrapText="1"/>
    </xf>
    <xf numFmtId="9" fontId="32" fillId="7" borderId="30" xfId="0" applyNumberFormat="1" applyFont="1" applyFill="1" applyBorder="1" applyAlignment="1">
      <alignment horizontal="center" vertical="center" wrapText="1"/>
    </xf>
    <xf numFmtId="0" fontId="31" fillId="7" borderId="32" xfId="0" applyFont="1" applyFill="1" applyBorder="1" applyAlignment="1">
      <alignment horizontal="left" vertical="center" wrapText="1"/>
    </xf>
    <xf numFmtId="0" fontId="7" fillId="7" borderId="29" xfId="0" applyFont="1" applyFill="1" applyBorder="1" applyAlignment="1">
      <alignment horizontal="center" vertical="center" wrapText="1"/>
    </xf>
    <xf numFmtId="0" fontId="4" fillId="7" borderId="30" xfId="0" applyFont="1" applyFill="1" applyBorder="1" applyAlignment="1">
      <alignment horizontal="center" vertical="center" wrapText="1"/>
    </xf>
    <xf numFmtId="0" fontId="4" fillId="7" borderId="31" xfId="0" applyFont="1" applyFill="1" applyBorder="1" applyAlignment="1">
      <alignment horizontal="left" vertical="center" wrapText="1"/>
    </xf>
    <xf numFmtId="0" fontId="4" fillId="7" borderId="8" xfId="0" applyFont="1" applyFill="1" applyBorder="1" applyAlignment="1">
      <alignment horizontal="center" vertical="center" wrapText="1"/>
    </xf>
    <xf numFmtId="0" fontId="4" fillId="7" borderId="30" xfId="0" applyFont="1" applyFill="1" applyBorder="1" applyAlignment="1">
      <alignment horizontal="left" vertical="center" wrapText="1"/>
    </xf>
    <xf numFmtId="0" fontId="4" fillId="7" borderId="32" xfId="0" applyFont="1" applyFill="1" applyBorder="1" applyAlignment="1">
      <alignment horizontal="left" vertical="center" wrapText="1"/>
    </xf>
    <xf numFmtId="0" fontId="83" fillId="7" borderId="30" xfId="0" applyFont="1" applyFill="1" applyBorder="1" applyAlignment="1">
      <alignment wrapText="1"/>
    </xf>
    <xf numFmtId="0" fontId="83" fillId="7" borderId="31" xfId="0" applyFont="1" applyFill="1" applyBorder="1" applyAlignment="1">
      <alignment wrapText="1"/>
    </xf>
    <xf numFmtId="0" fontId="30" fillId="7" borderId="29" xfId="0" applyFont="1" applyFill="1" applyBorder="1" applyAlignment="1">
      <alignment horizontal="center" vertical="center" wrapText="1"/>
    </xf>
    <xf numFmtId="0" fontId="36" fillId="7" borderId="30" xfId="0" applyFont="1" applyFill="1" applyBorder="1" applyAlignment="1">
      <alignment horizontal="center" vertical="center" wrapText="1"/>
    </xf>
    <xf numFmtId="9" fontId="40" fillId="7" borderId="32" xfId="0" applyNumberFormat="1" applyFont="1" applyFill="1" applyBorder="1" applyAlignment="1">
      <alignment horizontal="center" vertical="center" wrapText="1"/>
    </xf>
    <xf numFmtId="3" fontId="30" fillId="7" borderId="29" xfId="0" applyNumberFormat="1" applyFont="1" applyFill="1" applyBorder="1" applyAlignment="1">
      <alignment horizontal="center" vertical="center" wrapText="1"/>
    </xf>
    <xf numFmtId="3" fontId="4" fillId="7" borderId="30" xfId="0" applyNumberFormat="1" applyFont="1" applyFill="1" applyBorder="1" applyAlignment="1">
      <alignment horizontal="center" vertical="center" wrapText="1"/>
    </xf>
    <xf numFmtId="3" fontId="36" fillId="7" borderId="30" xfId="0" applyNumberFormat="1" applyFont="1" applyFill="1" applyBorder="1" applyAlignment="1">
      <alignment horizontal="center" vertical="center" wrapText="1"/>
    </xf>
    <xf numFmtId="0" fontId="7" fillId="7" borderId="30" xfId="0" applyFont="1" applyFill="1" applyBorder="1" applyAlignment="1">
      <alignment horizontal="center" vertical="center" wrapText="1"/>
    </xf>
    <xf numFmtId="0" fontId="7" fillId="7" borderId="31" xfId="0" applyFont="1" applyFill="1" applyBorder="1" applyAlignment="1">
      <alignment horizontal="left" vertical="center" wrapText="1"/>
    </xf>
    <xf numFmtId="0" fontId="7" fillId="7" borderId="8" xfId="0" applyFont="1" applyFill="1" applyBorder="1" applyAlignment="1">
      <alignment horizontal="center" vertical="center" wrapText="1"/>
    </xf>
    <xf numFmtId="0" fontId="77" fillId="7" borderId="30" xfId="0" applyFont="1" applyFill="1" applyBorder="1" applyAlignment="1">
      <alignment horizontal="center" vertical="center" wrapText="1"/>
    </xf>
    <xf numFmtId="0" fontId="5" fillId="7" borderId="29" xfId="0" applyFont="1" applyFill="1" applyBorder="1" applyAlignment="1">
      <alignment horizontal="center" vertical="center" wrapText="1"/>
    </xf>
    <xf numFmtId="3" fontId="5" fillId="7" borderId="29" xfId="0" applyNumberFormat="1" applyFont="1" applyFill="1" applyBorder="1" applyAlignment="1">
      <alignment horizontal="center" vertical="center" wrapText="1"/>
    </xf>
    <xf numFmtId="3" fontId="7" fillId="7" borderId="30" xfId="0" applyNumberFormat="1" applyFont="1" applyFill="1" applyBorder="1" applyAlignment="1">
      <alignment horizontal="center" vertical="center" wrapText="1"/>
    </xf>
    <xf numFmtId="3" fontId="77" fillId="7" borderId="30" xfId="0" applyNumberFormat="1" applyFont="1" applyFill="1" applyBorder="1" applyAlignment="1">
      <alignment horizontal="center" vertical="center" wrapText="1"/>
    </xf>
    <xf numFmtId="0" fontId="7" fillId="7" borderId="30" xfId="0" applyFont="1" applyFill="1" applyBorder="1" applyAlignment="1">
      <alignment horizontal="left" vertical="center" wrapText="1"/>
    </xf>
    <xf numFmtId="0" fontId="7" fillId="7" borderId="32" xfId="0" applyFont="1" applyFill="1" applyBorder="1" applyAlignment="1">
      <alignment horizontal="left" vertical="center" wrapText="1"/>
    </xf>
    <xf numFmtId="0" fontId="82" fillId="7" borderId="30" xfId="0" applyFont="1" applyFill="1" applyBorder="1" applyAlignment="1">
      <alignment wrapText="1"/>
    </xf>
    <xf numFmtId="0" fontId="82" fillId="7" borderId="31" xfId="0" applyFont="1" applyFill="1" applyBorder="1" applyAlignment="1">
      <alignment wrapText="1"/>
    </xf>
    <xf numFmtId="3" fontId="80" fillId="7" borderId="29" xfId="0" applyNumberFormat="1" applyFont="1" applyFill="1" applyBorder="1" applyAlignment="1">
      <alignment horizontal="center" vertical="center" wrapText="1"/>
    </xf>
    <xf numFmtId="3" fontId="81" fillId="7" borderId="30" xfId="0" applyNumberFormat="1" applyFont="1" applyFill="1" applyBorder="1" applyAlignment="1">
      <alignment horizontal="center" vertical="center" wrapText="1"/>
    </xf>
    <xf numFmtId="3" fontId="3" fillId="7" borderId="30" xfId="0" applyNumberFormat="1" applyFont="1" applyFill="1" applyBorder="1" applyAlignment="1">
      <alignment horizontal="center" vertical="center" wrapText="1"/>
    </xf>
    <xf numFmtId="9" fontId="80" fillId="7" borderId="30" xfId="0" applyNumberFormat="1" applyFont="1" applyFill="1" applyBorder="1" applyAlignment="1">
      <alignment horizontal="center" vertical="center" wrapText="1"/>
    </xf>
    <xf numFmtId="0" fontId="3" fillId="7" borderId="32" xfId="0" applyFont="1" applyFill="1" applyBorder="1" applyAlignment="1">
      <alignment horizontal="left" vertical="center" wrapText="1"/>
    </xf>
    <xf numFmtId="0" fontId="4" fillId="7" borderId="8" xfId="0" applyFont="1" applyFill="1" applyBorder="1" applyAlignment="1" applyProtection="1">
      <alignment horizontal="center" vertical="center" wrapText="1"/>
      <protection locked="0"/>
    </xf>
    <xf numFmtId="0" fontId="83" fillId="7" borderId="30" xfId="0" applyFont="1" applyFill="1" applyBorder="1" applyAlignment="1" applyProtection="1">
      <alignment wrapText="1"/>
      <protection locked="0"/>
    </xf>
    <xf numFmtId="0" fontId="83" fillId="7" borderId="31" xfId="0" applyFont="1" applyFill="1" applyBorder="1" applyAlignment="1" applyProtection="1">
      <alignment wrapText="1"/>
      <protection locked="0"/>
    </xf>
    <xf numFmtId="0" fontId="28" fillId="3" borderId="58" xfId="0" applyFont="1" applyFill="1" applyBorder="1" applyAlignment="1">
      <alignment vertical="center" wrapText="1"/>
    </xf>
    <xf numFmtId="0" fontId="56" fillId="3" borderId="7"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57" fillId="0" borderId="11" xfId="0" applyFont="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protection locked="0"/>
    </xf>
    <xf numFmtId="9" fontId="42" fillId="6" borderId="11" xfId="1" applyFont="1" applyFill="1" applyBorder="1" applyAlignment="1" applyProtection="1">
      <alignment horizontal="center" vertical="center" wrapText="1"/>
      <protection locked="0"/>
    </xf>
    <xf numFmtId="3" fontId="14" fillId="0" borderId="11" xfId="0" applyNumberFormat="1" applyFont="1" applyBorder="1" applyAlignment="1" applyProtection="1">
      <alignment horizontal="center" vertical="center" wrapText="1"/>
      <protection locked="0"/>
    </xf>
    <xf numFmtId="3" fontId="4" fillId="6" borderId="11" xfId="0" applyNumberFormat="1" applyFont="1" applyFill="1" applyBorder="1" applyAlignment="1" applyProtection="1">
      <alignment horizontal="center" vertical="center" wrapText="1"/>
      <protection locked="0"/>
    </xf>
    <xf numFmtId="9" fontId="40" fillId="6" borderId="11" xfId="1" applyFont="1" applyFill="1" applyBorder="1" applyAlignment="1" applyProtection="1">
      <alignment horizontal="center" vertical="center" wrapText="1"/>
      <protection locked="0"/>
    </xf>
    <xf numFmtId="3" fontId="36" fillId="0" borderId="11" xfId="0" applyNumberFormat="1" applyFont="1" applyBorder="1" applyAlignment="1" applyProtection="1">
      <alignment horizontal="center" vertical="center" wrapText="1"/>
      <protection locked="0"/>
    </xf>
    <xf numFmtId="3" fontId="29" fillId="0" borderId="11" xfId="0" applyNumberFormat="1" applyFont="1" applyBorder="1" applyAlignment="1" applyProtection="1">
      <alignment horizontal="center" vertical="center" wrapText="1"/>
      <protection locked="0"/>
    </xf>
    <xf numFmtId="0" fontId="4" fillId="0" borderId="37" xfId="0" applyFont="1" applyBorder="1" applyAlignment="1" applyProtection="1">
      <alignment horizontal="left" vertical="center" wrapText="1"/>
      <protection locked="0"/>
    </xf>
    <xf numFmtId="0" fontId="25" fillId="0" borderId="55" xfId="0" applyFont="1" applyBorder="1" applyProtection="1">
      <protection locked="0"/>
    </xf>
    <xf numFmtId="0" fontId="4" fillId="0" borderId="50" xfId="0" applyFont="1" applyBorder="1" applyAlignment="1" applyProtection="1">
      <alignment horizontal="center" vertical="center" wrapText="1"/>
      <protection locked="0"/>
    </xf>
    <xf numFmtId="0" fontId="4" fillId="0" borderId="49" xfId="0" applyFont="1" applyBorder="1" applyAlignment="1" applyProtection="1">
      <alignment horizontal="center" vertical="center" wrapText="1"/>
      <protection locked="0"/>
    </xf>
    <xf numFmtId="0" fontId="28" fillId="3" borderId="23" xfId="0" applyFont="1" applyFill="1" applyBorder="1" applyAlignment="1">
      <alignment horizontal="center" vertical="center" wrapText="1"/>
    </xf>
    <xf numFmtId="0" fontId="31" fillId="3" borderId="20" xfId="0" applyFont="1" applyFill="1" applyBorder="1" applyAlignment="1">
      <alignment horizontal="center" vertical="center" wrapText="1"/>
    </xf>
    <xf numFmtId="9" fontId="31" fillId="3" borderId="39" xfId="1" applyFont="1" applyFill="1" applyBorder="1" applyAlignment="1" applyProtection="1">
      <alignment horizontal="center" vertical="center" wrapText="1"/>
    </xf>
    <xf numFmtId="0" fontId="25" fillId="0" borderId="55" xfId="0" applyFont="1" applyBorder="1"/>
    <xf numFmtId="0" fontId="4" fillId="0" borderId="50" xfId="0" applyFont="1" applyBorder="1" applyAlignment="1">
      <alignment horizontal="center" vertical="center" wrapText="1"/>
    </xf>
    <xf numFmtId="0" fontId="64" fillId="0" borderId="50" xfId="0" applyFont="1" applyBorder="1" applyAlignment="1">
      <alignment horizontal="center" vertical="center" wrapText="1"/>
    </xf>
    <xf numFmtId="9" fontId="4" fillId="0" borderId="50" xfId="1" applyFont="1" applyBorder="1" applyAlignment="1" applyProtection="1">
      <alignment horizontal="center" vertical="center" wrapText="1"/>
    </xf>
    <xf numFmtId="0" fontId="57" fillId="0" borderId="50" xfId="0" applyFont="1" applyBorder="1" applyAlignment="1">
      <alignment horizontal="center" vertical="center" wrapText="1"/>
    </xf>
    <xf numFmtId="0" fontId="4" fillId="0" borderId="49" xfId="0" applyFont="1" applyBorder="1" applyAlignment="1">
      <alignment horizontal="center" vertical="center" wrapText="1"/>
    </xf>
    <xf numFmtId="3" fontId="36" fillId="7" borderId="30" xfId="0" applyNumberFormat="1" applyFont="1" applyFill="1" applyBorder="1" applyAlignment="1" applyProtection="1">
      <alignment horizontal="center" vertical="center" wrapText="1"/>
      <protection locked="0"/>
    </xf>
    <xf numFmtId="9" fontId="40" fillId="7" borderId="30" xfId="0" applyNumberFormat="1" applyFont="1" applyFill="1" applyBorder="1" applyAlignment="1">
      <alignment horizontal="center" vertical="center" wrapText="1"/>
    </xf>
    <xf numFmtId="9" fontId="30" fillId="7" borderId="30" xfId="0" applyNumberFormat="1" applyFont="1" applyFill="1" applyBorder="1" applyAlignment="1">
      <alignment horizontal="center" vertical="center" wrapText="1"/>
    </xf>
    <xf numFmtId="9" fontId="5" fillId="7" borderId="30" xfId="0" applyNumberFormat="1"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28" fillId="3" borderId="17" xfId="0" applyFont="1" applyFill="1" applyBorder="1" applyAlignment="1">
      <alignment vertical="center" wrapText="1"/>
    </xf>
    <xf numFmtId="0" fontId="11" fillId="3" borderId="61" xfId="0" applyFont="1" applyFill="1" applyBorder="1" applyAlignment="1">
      <alignment horizontal="center" vertical="center" wrapText="1"/>
    </xf>
    <xf numFmtId="0" fontId="28" fillId="3" borderId="27"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30" fillId="7" borderId="23" xfId="0" applyFont="1" applyFill="1" applyBorder="1" applyAlignment="1">
      <alignment horizontal="center" vertical="center" wrapText="1"/>
    </xf>
    <xf numFmtId="0" fontId="36" fillId="7" borderId="20" xfId="0" applyFont="1" applyFill="1" applyBorder="1" applyAlignment="1">
      <alignment horizontal="center" vertical="center" wrapText="1"/>
    </xf>
    <xf numFmtId="9" fontId="40" fillId="7" borderId="39" xfId="0" applyNumberFormat="1" applyFont="1" applyFill="1" applyBorder="1" applyAlignment="1">
      <alignment horizontal="center" vertical="center" wrapText="1"/>
    </xf>
    <xf numFmtId="0" fontId="4" fillId="7" borderId="20" xfId="0" applyFont="1" applyFill="1" applyBorder="1" applyAlignment="1">
      <alignment horizontal="center" vertical="center" wrapText="1"/>
    </xf>
    <xf numFmtId="3" fontId="30" fillId="7" borderId="23" xfId="0" applyNumberFormat="1" applyFont="1" applyFill="1" applyBorder="1" applyAlignment="1">
      <alignment horizontal="center" vertical="center" wrapText="1"/>
    </xf>
    <xf numFmtId="3" fontId="4" fillId="7" borderId="20" xfId="0" applyNumberFormat="1" applyFont="1" applyFill="1" applyBorder="1" applyAlignment="1">
      <alignment horizontal="center" vertical="center" wrapText="1"/>
    </xf>
    <xf numFmtId="9" fontId="40" fillId="7" borderId="20" xfId="0" applyNumberFormat="1" applyFont="1" applyFill="1" applyBorder="1" applyAlignment="1">
      <alignment horizontal="center" vertical="center" wrapText="1"/>
    </xf>
    <xf numFmtId="9" fontId="30" fillId="7" borderId="20" xfId="0" applyNumberFormat="1" applyFont="1" applyFill="1" applyBorder="1" applyAlignment="1">
      <alignment horizontal="center" vertical="center" wrapText="1"/>
    </xf>
    <xf numFmtId="0" fontId="4" fillId="7" borderId="39" xfId="0" applyFont="1" applyFill="1" applyBorder="1" applyAlignment="1">
      <alignment horizontal="left" vertical="center" wrapText="1"/>
    </xf>
    <xf numFmtId="9" fontId="7" fillId="7" borderId="30" xfId="0" applyNumberFormat="1" applyFont="1" applyFill="1" applyBorder="1" applyAlignment="1">
      <alignment horizontal="center" vertical="center" wrapText="1"/>
    </xf>
    <xf numFmtId="0" fontId="65" fillId="7" borderId="31" xfId="0" applyFont="1" applyFill="1" applyBorder="1" applyAlignment="1">
      <alignment horizontal="center" vertical="center" wrapText="1"/>
    </xf>
    <xf numFmtId="0" fontId="35" fillId="7" borderId="31" xfId="0" applyFont="1" applyFill="1" applyBorder="1" applyAlignment="1">
      <alignment horizontal="center" vertical="center" wrapText="1"/>
    </xf>
    <xf numFmtId="9" fontId="40" fillId="7" borderId="31" xfId="0" applyNumberFormat="1" applyFont="1" applyFill="1" applyBorder="1" applyAlignment="1">
      <alignment horizontal="center" vertical="center" wrapText="1"/>
    </xf>
    <xf numFmtId="0" fontId="63" fillId="6" borderId="33" xfId="0" applyFont="1" applyFill="1" applyBorder="1" applyAlignment="1" applyProtection="1">
      <alignment horizontal="center" vertical="center" wrapText="1"/>
      <protection locked="0"/>
    </xf>
    <xf numFmtId="0" fontId="62" fillId="10" borderId="10" xfId="0" applyFont="1" applyFill="1" applyBorder="1" applyAlignment="1" applyProtection="1">
      <alignment horizontal="center" vertical="center" wrapText="1"/>
      <protection locked="0"/>
    </xf>
    <xf numFmtId="3" fontId="57" fillId="0" borderId="10" xfId="0" applyNumberFormat="1" applyFont="1" applyBorder="1" applyAlignment="1" applyProtection="1">
      <alignment horizontal="center" vertical="center" wrapText="1"/>
      <protection locked="0"/>
    </xf>
    <xf numFmtId="0" fontId="62" fillId="10" borderId="11" xfId="0" applyFont="1" applyFill="1" applyBorder="1" applyAlignment="1" applyProtection="1">
      <alignment horizontal="center" vertical="center" wrapText="1"/>
      <protection locked="0"/>
    </xf>
    <xf numFmtId="9" fontId="42" fillId="10" borderId="11" xfId="1" applyFont="1" applyFill="1" applyBorder="1" applyAlignment="1" applyProtection="1">
      <alignment horizontal="center" vertical="center" wrapText="1"/>
      <protection locked="0"/>
    </xf>
    <xf numFmtId="3" fontId="57" fillId="0" borderId="11" xfId="0" applyNumberFormat="1" applyFont="1" applyBorder="1" applyAlignment="1" applyProtection="1">
      <alignment horizontal="center" vertical="center" wrapText="1"/>
      <protection locked="0"/>
    </xf>
    <xf numFmtId="0" fontId="4" fillId="11" borderId="10" xfId="0" applyFont="1" applyFill="1" applyBorder="1" applyAlignment="1" applyProtection="1">
      <alignment horizontal="center" vertical="center" wrapText="1"/>
      <protection locked="0"/>
    </xf>
    <xf numFmtId="0" fontId="4" fillId="11" borderId="11" xfId="0" applyFont="1" applyFill="1" applyBorder="1" applyAlignment="1" applyProtection="1">
      <alignment horizontal="center" vertical="center" wrapText="1"/>
      <protection locked="0"/>
    </xf>
    <xf numFmtId="9" fontId="42" fillId="11" borderId="11" xfId="1" applyFont="1" applyFill="1" applyBorder="1" applyAlignment="1" applyProtection="1">
      <alignment horizontal="center" vertical="center" wrapText="1"/>
      <protection locked="0"/>
    </xf>
    <xf numFmtId="0" fontId="76" fillId="7" borderId="8" xfId="0" applyFont="1" applyFill="1" applyBorder="1" applyAlignment="1">
      <alignment horizontal="center" vertical="center" wrapText="1"/>
    </xf>
    <xf numFmtId="0" fontId="75" fillId="7" borderId="30" xfId="0" applyFont="1" applyFill="1" applyBorder="1" applyAlignment="1">
      <alignment wrapText="1"/>
    </xf>
    <xf numFmtId="0" fontId="75" fillId="7" borderId="31" xfId="0" applyFont="1" applyFill="1" applyBorder="1" applyAlignment="1">
      <alignment wrapText="1"/>
    </xf>
    <xf numFmtId="9" fontId="42" fillId="7" borderId="32" xfId="0" applyNumberFormat="1" applyFont="1" applyFill="1" applyBorder="1" applyAlignment="1">
      <alignment horizontal="center" vertical="center" wrapText="1"/>
    </xf>
    <xf numFmtId="3" fontId="78" fillId="7" borderId="29" xfId="0" applyNumberFormat="1" applyFont="1" applyFill="1" applyBorder="1" applyAlignment="1">
      <alignment horizontal="center" vertical="center" wrapText="1"/>
    </xf>
    <xf numFmtId="3" fontId="79" fillId="7" borderId="30" xfId="0" applyNumberFormat="1" applyFont="1" applyFill="1" applyBorder="1" applyAlignment="1">
      <alignment horizontal="center" vertical="center" wrapText="1"/>
    </xf>
    <xf numFmtId="0" fontId="23" fillId="7" borderId="8" xfId="0" applyFont="1" applyFill="1" applyBorder="1" applyAlignment="1">
      <alignment horizontal="center" vertical="center" wrapText="1"/>
    </xf>
    <xf numFmtId="0" fontId="0" fillId="7" borderId="20" xfId="0" applyFill="1" applyBorder="1" applyAlignment="1">
      <alignment wrapText="1"/>
    </xf>
    <xf numFmtId="0" fontId="0" fillId="7" borderId="21" xfId="0" applyFill="1" applyBorder="1" applyAlignment="1">
      <alignment wrapText="1"/>
    </xf>
    <xf numFmtId="9" fontId="42" fillId="7" borderId="39" xfId="0" applyNumberFormat="1" applyFont="1" applyFill="1" applyBorder="1" applyAlignment="1">
      <alignment horizontal="center" vertical="center" wrapText="1"/>
    </xf>
    <xf numFmtId="3" fontId="9" fillId="7" borderId="23" xfId="0" applyNumberFormat="1" applyFont="1" applyFill="1" applyBorder="1" applyAlignment="1">
      <alignment horizontal="center" vertical="center" wrapText="1"/>
    </xf>
    <xf numFmtId="3" fontId="14" fillId="7" borderId="20" xfId="0" applyNumberFormat="1" applyFont="1" applyFill="1" applyBorder="1" applyAlignment="1">
      <alignment horizontal="center" vertical="center" wrapText="1"/>
    </xf>
    <xf numFmtId="0" fontId="0" fillId="7" borderId="30" xfId="0" applyFill="1" applyBorder="1" applyAlignment="1">
      <alignment wrapText="1"/>
    </xf>
    <xf numFmtId="0" fontId="0" fillId="7" borderId="31" xfId="0" applyFill="1" applyBorder="1" applyAlignment="1">
      <alignment wrapText="1"/>
    </xf>
    <xf numFmtId="3" fontId="9" fillId="7" borderId="29" xfId="0" applyNumberFormat="1" applyFont="1" applyFill="1" applyBorder="1" applyAlignment="1">
      <alignment horizontal="center" vertical="center" wrapText="1"/>
    </xf>
    <xf numFmtId="3" fontId="14" fillId="7" borderId="30" xfId="0" applyNumberFormat="1" applyFont="1" applyFill="1" applyBorder="1" applyAlignment="1">
      <alignment horizontal="center" vertical="center" wrapText="1"/>
    </xf>
    <xf numFmtId="9" fontId="43" fillId="6" borderId="10" xfId="1" applyFont="1" applyFill="1" applyBorder="1" applyAlignment="1" applyProtection="1">
      <alignment horizontal="center" vertical="center" wrapText="1"/>
      <protection locked="0"/>
    </xf>
    <xf numFmtId="9" fontId="44" fillId="6" borderId="10" xfId="1" applyFont="1" applyFill="1" applyBorder="1" applyAlignment="1" applyProtection="1">
      <alignment horizontal="center" vertical="center" wrapText="1"/>
      <protection locked="0"/>
    </xf>
    <xf numFmtId="9" fontId="43" fillId="6" borderId="11" xfId="1" applyFont="1" applyFill="1" applyBorder="1" applyAlignment="1" applyProtection="1">
      <alignment horizontal="center" vertical="center" wrapText="1"/>
      <protection locked="0"/>
    </xf>
    <xf numFmtId="9" fontId="44" fillId="6" borderId="11" xfId="1" applyFont="1" applyFill="1" applyBorder="1" applyAlignment="1" applyProtection="1">
      <alignment horizontal="center" vertical="center" wrapText="1"/>
      <protection locked="0"/>
    </xf>
    <xf numFmtId="9" fontId="43" fillId="7" borderId="32" xfId="0" applyNumberFormat="1" applyFont="1" applyFill="1" applyBorder="1" applyAlignment="1">
      <alignment horizontal="center" vertical="center" wrapText="1"/>
    </xf>
    <xf numFmtId="9" fontId="44" fillId="7" borderId="32" xfId="0" applyNumberFormat="1" applyFont="1" applyFill="1" applyBorder="1" applyAlignment="1">
      <alignment horizontal="center" vertical="center" wrapText="1"/>
    </xf>
    <xf numFmtId="9" fontId="44" fillId="7" borderId="30" xfId="0" applyNumberFormat="1" applyFont="1" applyFill="1" applyBorder="1" applyAlignment="1">
      <alignment horizontal="center" vertical="center" wrapText="1"/>
    </xf>
    <xf numFmtId="0" fontId="74" fillId="3" borderId="23" xfId="0" applyFont="1" applyFill="1" applyBorder="1" applyAlignment="1">
      <alignment horizontal="center" vertical="center" wrapText="1"/>
    </xf>
    <xf numFmtId="9" fontId="21" fillId="3" borderId="39" xfId="0" applyNumberFormat="1" applyFont="1" applyFill="1" applyBorder="1" applyAlignment="1">
      <alignment horizontal="center" vertical="center" wrapText="1"/>
    </xf>
    <xf numFmtId="9" fontId="11" fillId="3" borderId="20" xfId="0" applyNumberFormat="1" applyFont="1" applyFill="1" applyBorder="1" applyAlignment="1">
      <alignment horizontal="center" vertical="center" wrapText="1"/>
    </xf>
    <xf numFmtId="0" fontId="29" fillId="0" borderId="10" xfId="0" applyFont="1" applyBorder="1" applyAlignment="1" applyProtection="1">
      <alignment horizontal="center" vertical="center" wrapText="1"/>
      <protection locked="0"/>
    </xf>
    <xf numFmtId="0" fontId="29" fillId="0" borderId="11" xfId="0" applyFont="1" applyBorder="1" applyAlignment="1" applyProtection="1">
      <alignment horizontal="center" vertical="center" wrapText="1"/>
      <protection locked="0"/>
    </xf>
    <xf numFmtId="0" fontId="74" fillId="3" borderId="20" xfId="0" applyFont="1" applyFill="1" applyBorder="1" applyAlignment="1">
      <alignment horizontal="center" vertical="center" wrapText="1"/>
    </xf>
    <xf numFmtId="0" fontId="30" fillId="0" borderId="50" xfId="0" applyFont="1" applyBorder="1" applyAlignment="1">
      <alignment horizontal="center" vertical="center" wrapText="1"/>
    </xf>
    <xf numFmtId="9" fontId="66" fillId="0" borderId="50" xfId="0" applyNumberFormat="1" applyFont="1" applyBorder="1" applyAlignment="1">
      <alignment horizontal="center" vertical="center" wrapText="1"/>
    </xf>
    <xf numFmtId="9" fontId="4" fillId="0" borderId="50" xfId="0" applyNumberFormat="1" applyFont="1" applyBorder="1" applyAlignment="1">
      <alignment horizontal="center" vertical="center" wrapText="1"/>
    </xf>
    <xf numFmtId="0" fontId="9" fillId="7" borderId="29" xfId="0" applyFont="1" applyFill="1" applyBorder="1" applyAlignment="1">
      <alignment horizontal="center" vertical="center" wrapText="1"/>
    </xf>
    <xf numFmtId="9" fontId="38" fillId="7" borderId="30" xfId="0" applyNumberFormat="1" applyFont="1" applyFill="1" applyBorder="1" applyAlignment="1">
      <alignment horizontal="center" vertical="center" wrapText="1"/>
    </xf>
    <xf numFmtId="9" fontId="58" fillId="7" borderId="39" xfId="0" applyNumberFormat="1" applyFont="1" applyFill="1" applyBorder="1" applyAlignment="1">
      <alignment horizontal="center" vertical="center" wrapText="1"/>
    </xf>
    <xf numFmtId="9" fontId="59" fillId="7" borderId="20" xfId="0" applyNumberFormat="1" applyFont="1" applyFill="1" applyBorder="1" applyAlignment="1">
      <alignment horizontal="center" vertical="center" wrapText="1"/>
    </xf>
    <xf numFmtId="9" fontId="60" fillId="7" borderId="32" xfId="0" applyNumberFormat="1" applyFont="1" applyFill="1" applyBorder="1" applyAlignment="1">
      <alignment horizontal="center" vertical="center" wrapText="1"/>
    </xf>
    <xf numFmtId="0" fontId="4" fillId="7" borderId="1" xfId="0" applyFont="1" applyFill="1" applyBorder="1" applyAlignment="1">
      <alignment horizontal="left" vertical="top" wrapText="1"/>
    </xf>
    <xf numFmtId="9" fontId="5" fillId="7" borderId="1" xfId="0" applyNumberFormat="1" applyFont="1" applyFill="1" applyBorder="1" applyAlignment="1">
      <alignment horizontal="left" vertical="top" wrapText="1"/>
    </xf>
    <xf numFmtId="0" fontId="4" fillId="2" borderId="28" xfId="0" applyFont="1" applyFill="1" applyBorder="1" applyAlignment="1">
      <alignment horizontal="center" vertical="center" wrapText="1"/>
    </xf>
    <xf numFmtId="0" fontId="11" fillId="2" borderId="14" xfId="0" applyFont="1" applyFill="1" applyBorder="1" applyAlignment="1">
      <alignment horizontal="left" vertical="top" wrapText="1" readingOrder="1"/>
    </xf>
    <xf numFmtId="0" fontId="4" fillId="2" borderId="19" xfId="0" applyFont="1" applyFill="1" applyBorder="1" applyAlignment="1">
      <alignment horizontal="left" vertical="top" wrapText="1" readingOrder="1"/>
    </xf>
    <xf numFmtId="0" fontId="4" fillId="2" borderId="20" xfId="0" applyFont="1" applyFill="1" applyBorder="1" applyAlignment="1">
      <alignment horizontal="left" vertical="top" wrapText="1"/>
    </xf>
    <xf numFmtId="0" fontId="5" fillId="2" borderId="20" xfId="0" applyFont="1" applyFill="1" applyBorder="1" applyAlignment="1">
      <alignment horizontal="left" vertical="top" wrapText="1"/>
    </xf>
    <xf numFmtId="9" fontId="5" fillId="2" borderId="20" xfId="0" applyNumberFormat="1" applyFont="1" applyFill="1" applyBorder="1" applyAlignment="1">
      <alignment horizontal="left" vertical="top" wrapText="1"/>
    </xf>
    <xf numFmtId="165" fontId="9" fillId="2" borderId="20" xfId="0" applyNumberFormat="1" applyFont="1" applyFill="1" applyBorder="1" applyAlignment="1">
      <alignment horizontal="left" vertical="top"/>
    </xf>
    <xf numFmtId="165" fontId="14" fillId="2" borderId="20" xfId="0" applyNumberFormat="1" applyFont="1" applyFill="1" applyBorder="1" applyAlignment="1">
      <alignment horizontal="left" vertical="top"/>
    </xf>
    <xf numFmtId="165" fontId="14" fillId="2" borderId="21" xfId="0" applyNumberFormat="1" applyFont="1" applyFill="1" applyBorder="1" applyAlignment="1">
      <alignment horizontal="left" vertical="top"/>
    </xf>
    <xf numFmtId="9" fontId="5" fillId="2" borderId="39" xfId="1" applyFont="1" applyFill="1" applyBorder="1" applyAlignment="1" applyProtection="1">
      <alignment horizontal="left" vertical="top" wrapText="1"/>
    </xf>
    <xf numFmtId="0" fontId="4" fillId="2" borderId="1" xfId="0" applyFont="1" applyFill="1" applyBorder="1" applyAlignment="1">
      <alignment horizontal="center" vertical="center" wrapText="1"/>
    </xf>
    <xf numFmtId="165" fontId="9" fillId="2" borderId="19" xfId="0" applyNumberFormat="1" applyFont="1" applyFill="1" applyBorder="1" applyAlignment="1">
      <alignment horizontal="left" vertical="top"/>
    </xf>
    <xf numFmtId="9" fontId="5" fillId="2" borderId="22" xfId="1" applyFont="1" applyFill="1" applyBorder="1" applyAlignment="1" applyProtection="1">
      <alignment horizontal="left" vertical="top" wrapText="1"/>
    </xf>
    <xf numFmtId="165" fontId="4" fillId="2" borderId="19" xfId="0" applyNumberFormat="1" applyFont="1" applyFill="1" applyBorder="1" applyAlignment="1">
      <alignment horizontal="left" vertical="top" wrapText="1" readingOrder="1"/>
    </xf>
    <xf numFmtId="0" fontId="12" fillId="2" borderId="30" xfId="0" applyFont="1" applyFill="1" applyBorder="1" applyAlignment="1">
      <alignment horizontal="left" vertical="center" wrapText="1" readingOrder="1"/>
    </xf>
    <xf numFmtId="0" fontId="4" fillId="2" borderId="8" xfId="0" applyFont="1" applyFill="1" applyBorder="1" applyAlignment="1">
      <alignment horizontal="left" vertical="top" wrapText="1" readingOrder="1"/>
    </xf>
    <xf numFmtId="0" fontId="4" fillId="2" borderId="30" xfId="0" applyFont="1" applyFill="1" applyBorder="1" applyAlignment="1">
      <alignment horizontal="left" vertical="top" wrapText="1"/>
    </xf>
    <xf numFmtId="0" fontId="45" fillId="2" borderId="30" xfId="0" applyFont="1" applyFill="1" applyBorder="1" applyAlignment="1">
      <alignment horizontal="left" vertical="top" wrapText="1"/>
    </xf>
    <xf numFmtId="0" fontId="20" fillId="2" borderId="30" xfId="0" applyFont="1" applyFill="1" applyBorder="1" applyAlignment="1">
      <alignment horizontal="left" vertical="top" wrapText="1"/>
    </xf>
    <xf numFmtId="9" fontId="45" fillId="2" borderId="30" xfId="0" applyNumberFormat="1" applyFont="1" applyFill="1" applyBorder="1" applyAlignment="1">
      <alignment horizontal="left" vertical="top" wrapText="1"/>
    </xf>
    <xf numFmtId="9" fontId="45" fillId="2" borderId="30" xfId="1" applyFont="1" applyFill="1" applyBorder="1" applyAlignment="1" applyProtection="1">
      <alignment horizontal="left" vertical="top" wrapText="1"/>
    </xf>
    <xf numFmtId="165" fontId="45" fillId="2" borderId="30" xfId="0" applyNumberFormat="1" applyFont="1" applyFill="1" applyBorder="1" applyAlignment="1">
      <alignment horizontal="left" vertical="top"/>
    </xf>
    <xf numFmtId="165" fontId="46" fillId="2" borderId="30" xfId="0" applyNumberFormat="1" applyFont="1" applyFill="1" applyBorder="1" applyAlignment="1">
      <alignment horizontal="left" vertical="top"/>
    </xf>
    <xf numFmtId="9" fontId="45" fillId="2" borderId="32" xfId="1" applyFont="1" applyFill="1" applyBorder="1" applyAlignment="1" applyProtection="1">
      <alignment horizontal="left" vertical="top" wrapText="1"/>
    </xf>
    <xf numFmtId="0" fontId="7" fillId="3" borderId="27" xfId="0" applyFont="1" applyFill="1" applyBorder="1" applyAlignment="1" applyProtection="1">
      <alignment horizontal="center" vertical="center" wrapText="1"/>
      <protection locked="0"/>
    </xf>
    <xf numFmtId="0" fontId="13" fillId="3" borderId="27" xfId="0" applyFont="1" applyFill="1" applyBorder="1" applyAlignment="1" applyProtection="1">
      <alignment horizontal="center" vertical="center" wrapText="1"/>
      <protection locked="0"/>
    </xf>
    <xf numFmtId="0" fontId="13" fillId="3" borderId="10"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71" xfId="0" applyFont="1" applyFill="1" applyBorder="1" applyAlignment="1" applyProtection="1">
      <alignment horizontal="center" vertical="center" wrapText="1"/>
      <protection locked="0"/>
    </xf>
    <xf numFmtId="0" fontId="4" fillId="0" borderId="11" xfId="0" applyFont="1" applyBorder="1" applyAlignment="1" applyProtection="1">
      <alignment horizontal="left" vertical="top" wrapText="1" readingOrder="1"/>
      <protection locked="0"/>
    </xf>
    <xf numFmtId="0" fontId="4" fillId="0" borderId="11" xfId="0" applyFont="1" applyBorder="1" applyAlignment="1" applyProtection="1">
      <alignment horizontal="left" vertical="top" wrapText="1"/>
      <protection locked="0"/>
    </xf>
    <xf numFmtId="166" fontId="4" fillId="0" borderId="11" xfId="0" applyNumberFormat="1"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4" fillId="6" borderId="1" xfId="0" applyFont="1" applyFill="1" applyBorder="1" applyAlignment="1" applyProtection="1">
      <alignment horizontal="left" vertical="top" wrapText="1"/>
      <protection locked="0"/>
    </xf>
    <xf numFmtId="9" fontId="5" fillId="6" borderId="1" xfId="1" applyFont="1" applyFill="1" applyBorder="1" applyAlignment="1" applyProtection="1">
      <alignment horizontal="left" vertical="top" wrapText="1"/>
      <protection locked="0"/>
    </xf>
    <xf numFmtId="0" fontId="5" fillId="0" borderId="72" xfId="0" applyFont="1" applyBorder="1" applyAlignment="1" applyProtection="1">
      <alignment horizontal="left" vertical="top" wrapText="1"/>
      <protection locked="0"/>
    </xf>
    <xf numFmtId="165" fontId="14" fillId="6" borderId="1" xfId="0" applyNumberFormat="1" applyFont="1" applyFill="1" applyBorder="1" applyAlignment="1" applyProtection="1">
      <alignment horizontal="left" vertical="top"/>
      <protection locked="0"/>
    </xf>
    <xf numFmtId="166" fontId="4" fillId="0" borderId="1" xfId="0" applyNumberFormat="1"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5" fillId="0" borderId="70" xfId="0" applyFont="1" applyBorder="1" applyAlignment="1" applyProtection="1">
      <alignment horizontal="left" vertical="top" wrapText="1"/>
      <protection locked="0"/>
    </xf>
    <xf numFmtId="165" fontId="14" fillId="0" borderId="1" xfId="0" applyNumberFormat="1" applyFont="1" applyBorder="1" applyAlignment="1" applyProtection="1">
      <alignment horizontal="left" vertical="top"/>
      <protection locked="0"/>
    </xf>
    <xf numFmtId="166" fontId="4" fillId="0" borderId="4" xfId="0" applyNumberFormat="1" applyFont="1" applyBorder="1" applyAlignment="1" applyProtection="1">
      <alignment horizontal="left" vertical="top" wrapText="1"/>
      <protection locked="0"/>
    </xf>
    <xf numFmtId="166" fontId="4" fillId="0" borderId="15" xfId="0" applyNumberFormat="1"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5" fillId="0" borderId="73" xfId="0" applyFont="1" applyBorder="1" applyAlignment="1" applyProtection="1">
      <alignment horizontal="left" vertical="top" wrapText="1"/>
      <protection locked="0"/>
    </xf>
    <xf numFmtId="165" fontId="14" fillId="0" borderId="4" xfId="0" applyNumberFormat="1" applyFont="1" applyBorder="1" applyAlignment="1" applyProtection="1">
      <alignment horizontal="left" vertical="top"/>
      <protection locked="0"/>
    </xf>
    <xf numFmtId="166" fontId="4" fillId="0" borderId="10" xfId="0" applyNumberFormat="1" applyFont="1" applyBorder="1" applyAlignment="1" applyProtection="1">
      <alignment horizontal="left" vertical="top" wrapText="1"/>
      <protection locked="0"/>
    </xf>
    <xf numFmtId="165" fontId="9" fillId="0" borderId="73" xfId="0" applyNumberFormat="1" applyFont="1" applyBorder="1" applyAlignment="1" applyProtection="1">
      <alignment horizontal="left" vertical="top"/>
      <protection locked="0"/>
    </xf>
    <xf numFmtId="0" fontId="5" fillId="0" borderId="15"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5" fillId="0" borderId="26" xfId="0" applyFont="1" applyBorder="1" applyAlignment="1" applyProtection="1">
      <alignment horizontal="left" vertical="top" wrapText="1"/>
      <protection locked="0"/>
    </xf>
    <xf numFmtId="165" fontId="9" fillId="0" borderId="26" xfId="0" applyNumberFormat="1" applyFont="1" applyBorder="1" applyAlignment="1" applyProtection="1">
      <alignment horizontal="left" vertical="top"/>
      <protection locked="0"/>
    </xf>
    <xf numFmtId="165" fontId="14" fillId="0" borderId="15" xfId="0" applyNumberFormat="1" applyFont="1" applyBorder="1" applyAlignment="1" applyProtection="1">
      <alignment horizontal="left" vertical="top"/>
      <protection locked="0"/>
    </xf>
    <xf numFmtId="0" fontId="4" fillId="12" borderId="69" xfId="0" applyFont="1" applyFill="1" applyBorder="1" applyAlignment="1" applyProtection="1">
      <alignment horizontal="left" vertical="top" wrapText="1" readingOrder="1"/>
      <protection locked="0"/>
    </xf>
    <xf numFmtId="0" fontId="11" fillId="12" borderId="2" xfId="0" applyFont="1" applyFill="1" applyBorder="1" applyAlignment="1" applyProtection="1">
      <alignment horizontal="left" vertical="top" wrapText="1" readingOrder="1"/>
      <protection locked="0"/>
    </xf>
    <xf numFmtId="0" fontId="4" fillId="12" borderId="0" xfId="0" applyFont="1" applyFill="1" applyAlignment="1" applyProtection="1">
      <alignment horizontal="left" vertical="top" wrapText="1" readingOrder="1"/>
      <protection locked="0"/>
    </xf>
    <xf numFmtId="0" fontId="4" fillId="12" borderId="0" xfId="0" applyFont="1" applyFill="1" applyAlignment="1" applyProtection="1">
      <alignment horizontal="center" vertical="center" wrapText="1"/>
      <protection locked="0"/>
    </xf>
    <xf numFmtId="0" fontId="4" fillId="0" borderId="13" xfId="0" applyFont="1" applyBorder="1" applyAlignment="1" applyProtection="1">
      <alignment horizontal="left" vertical="top" wrapText="1" readingOrder="1"/>
      <protection locked="0"/>
    </xf>
    <xf numFmtId="0" fontId="4" fillId="0" borderId="10" xfId="0" applyFont="1" applyBorder="1" applyAlignment="1" applyProtection="1">
      <alignment horizontal="left" vertical="top" wrapText="1"/>
      <protection locked="0"/>
    </xf>
    <xf numFmtId="0" fontId="32" fillId="7" borderId="31" xfId="0" applyFont="1" applyFill="1" applyBorder="1" applyAlignment="1">
      <alignment horizontal="center" vertical="center" wrapText="1"/>
    </xf>
    <xf numFmtId="0" fontId="4" fillId="13" borderId="1" xfId="0" applyFont="1" applyFill="1" applyBorder="1" applyAlignment="1" applyProtection="1">
      <alignment horizontal="left" vertical="top" wrapText="1"/>
      <protection locked="0"/>
    </xf>
    <xf numFmtId="9" fontId="5" fillId="13" borderId="1" xfId="1" applyFont="1" applyFill="1" applyBorder="1" applyAlignment="1" applyProtection="1">
      <alignment horizontal="left" vertical="top" wrapText="1"/>
      <protection locked="0"/>
    </xf>
    <xf numFmtId="0" fontId="5" fillId="12" borderId="15" xfId="0" applyFont="1" applyFill="1" applyBorder="1" applyAlignment="1" applyProtection="1">
      <alignment horizontal="left" vertical="top" wrapText="1"/>
      <protection locked="0"/>
    </xf>
    <xf numFmtId="0" fontId="4" fillId="12" borderId="15" xfId="0" applyFont="1" applyFill="1" applyBorder="1" applyAlignment="1" applyProtection="1">
      <alignment horizontal="left" vertical="top" wrapText="1"/>
      <protection locked="0"/>
    </xf>
    <xf numFmtId="165" fontId="14" fillId="12" borderId="73" xfId="0" applyNumberFormat="1" applyFont="1" applyFill="1" applyBorder="1" applyAlignment="1" applyProtection="1">
      <alignment horizontal="left" vertical="top"/>
      <protection locked="0"/>
    </xf>
    <xf numFmtId="165" fontId="14" fillId="12" borderId="4" xfId="0" applyNumberFormat="1" applyFont="1" applyFill="1" applyBorder="1" applyAlignment="1" applyProtection="1">
      <alignment horizontal="left" vertical="top"/>
      <protection locked="0"/>
    </xf>
    <xf numFmtId="165" fontId="14" fillId="13" borderId="1" xfId="0" applyNumberFormat="1" applyFont="1" applyFill="1" applyBorder="1" applyAlignment="1" applyProtection="1">
      <alignment horizontal="left" vertical="top"/>
      <protection locked="0"/>
    </xf>
    <xf numFmtId="9" fontId="33" fillId="2" borderId="20" xfId="1" applyFont="1" applyFill="1" applyBorder="1" applyAlignment="1">
      <alignment horizontal="left" vertical="top" wrapText="1"/>
    </xf>
    <xf numFmtId="9" fontId="33" fillId="2" borderId="19" xfId="1" applyFont="1" applyFill="1" applyBorder="1" applyAlignment="1">
      <alignment horizontal="left" vertical="top" wrapText="1" readingOrder="1"/>
    </xf>
    <xf numFmtId="0" fontId="31" fillId="3" borderId="34" xfId="0" applyFont="1" applyFill="1" applyBorder="1" applyAlignment="1" applyProtection="1">
      <alignment vertical="center" wrapText="1"/>
      <protection locked="0"/>
    </xf>
    <xf numFmtId="0" fontId="31" fillId="3" borderId="72" xfId="0" applyFont="1" applyFill="1" applyBorder="1" applyAlignment="1" applyProtection="1">
      <alignment vertical="center" wrapText="1"/>
      <protection locked="0"/>
    </xf>
    <xf numFmtId="0" fontId="7" fillId="3" borderId="20" xfId="0" applyFont="1" applyFill="1" applyBorder="1" applyAlignment="1" applyProtection="1">
      <alignment horizontal="center" vertical="center" wrapText="1"/>
      <protection locked="0"/>
    </xf>
    <xf numFmtId="165" fontId="84" fillId="12" borderId="72" xfId="0" applyNumberFormat="1" applyFont="1" applyFill="1" applyBorder="1" applyAlignment="1" applyProtection="1">
      <alignment horizontal="left" vertical="top" wrapText="1"/>
      <protection locked="0"/>
    </xf>
    <xf numFmtId="165" fontId="84" fillId="0" borderId="70" xfId="0" applyNumberFormat="1" applyFont="1" applyBorder="1" applyAlignment="1" applyProtection="1">
      <alignment horizontal="left" vertical="top" wrapText="1"/>
      <protection locked="0"/>
    </xf>
    <xf numFmtId="165" fontId="84" fillId="2" borderId="20" xfId="0" applyNumberFormat="1" applyFont="1" applyFill="1" applyBorder="1" applyAlignment="1">
      <alignment horizontal="left" vertical="top" wrapText="1"/>
    </xf>
    <xf numFmtId="165" fontId="84" fillId="0" borderId="73" xfId="0" applyNumberFormat="1" applyFont="1" applyBorder="1" applyAlignment="1" applyProtection="1">
      <alignment horizontal="left" vertical="top" wrapText="1"/>
      <protection locked="0"/>
    </xf>
    <xf numFmtId="165" fontId="57" fillId="12" borderId="72" xfId="0" applyNumberFormat="1" applyFont="1" applyFill="1" applyBorder="1" applyAlignment="1" applyProtection="1">
      <alignment horizontal="left" vertical="top" wrapText="1"/>
      <protection locked="0"/>
    </xf>
    <xf numFmtId="165" fontId="63" fillId="2" borderId="20" xfId="0" applyNumberFormat="1" applyFont="1" applyFill="1" applyBorder="1" applyAlignment="1">
      <alignment horizontal="left" vertical="top" wrapText="1"/>
    </xf>
    <xf numFmtId="9" fontId="5" fillId="2" borderId="56" xfId="1" applyFont="1" applyFill="1" applyBorder="1" applyAlignment="1" applyProtection="1">
      <alignment horizontal="left" vertical="top" wrapText="1"/>
    </xf>
    <xf numFmtId="0" fontId="4" fillId="2" borderId="1" xfId="0" applyFont="1" applyFill="1" applyBorder="1" applyAlignment="1">
      <alignment horizontal="left" vertical="top" wrapText="1"/>
    </xf>
    <xf numFmtId="9" fontId="5" fillId="6" borderId="9" xfId="1" applyFont="1" applyFill="1" applyBorder="1" applyAlignment="1" applyProtection="1">
      <alignment horizontal="left" vertical="top" wrapText="1"/>
      <protection locked="0"/>
    </xf>
    <xf numFmtId="0" fontId="4" fillId="2" borderId="11" xfId="0" applyFont="1" applyFill="1" applyBorder="1" applyAlignment="1">
      <alignment horizontal="left" vertical="top" wrapText="1"/>
    </xf>
    <xf numFmtId="0" fontId="11" fillId="3" borderId="3"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23"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31" fillId="3" borderId="43" xfId="0" applyFont="1" applyFill="1" applyBorder="1" applyAlignment="1">
      <alignment horizontal="center" vertical="center" wrapText="1"/>
    </xf>
    <xf numFmtId="0" fontId="31" fillId="3" borderId="39" xfId="0" applyFont="1" applyFill="1" applyBorder="1" applyAlignment="1">
      <alignment horizontal="center" vertical="center" wrapText="1"/>
    </xf>
    <xf numFmtId="0" fontId="11" fillId="3" borderId="50" xfId="0" applyFont="1" applyFill="1" applyBorder="1" applyAlignment="1">
      <alignment horizontal="center" vertical="center" wrapText="1"/>
    </xf>
    <xf numFmtId="0" fontId="28" fillId="3" borderId="58" xfId="0" applyFont="1" applyFill="1" applyBorder="1" applyAlignment="1">
      <alignment horizontal="center" vertical="center" wrapText="1"/>
    </xf>
    <xf numFmtId="0" fontId="11" fillId="3" borderId="35" xfId="0" applyFont="1" applyFill="1" applyBorder="1" applyAlignment="1">
      <alignment horizontal="centerContinuous" vertical="center" wrapText="1"/>
    </xf>
    <xf numFmtId="0" fontId="11" fillId="3" borderId="6" xfId="0" applyFont="1" applyFill="1" applyBorder="1" applyAlignment="1">
      <alignment horizontal="centerContinuous" vertical="center" wrapText="1"/>
    </xf>
    <xf numFmtId="0" fontId="11" fillId="3" borderId="7" xfId="0" applyFont="1" applyFill="1" applyBorder="1" applyAlignment="1">
      <alignment horizontal="centerContinuous" vertical="center" wrapText="1"/>
    </xf>
    <xf numFmtId="0" fontId="31" fillId="3" borderId="45" xfId="0" applyFont="1" applyFill="1" applyBorder="1" applyAlignment="1">
      <alignment horizontal="centerContinuous" vertical="center" wrapText="1"/>
    </xf>
    <xf numFmtId="0" fontId="31" fillId="3" borderId="46" xfId="0" applyFont="1" applyFill="1" applyBorder="1" applyAlignment="1">
      <alignment horizontal="centerContinuous" vertical="center" wrapText="1"/>
    </xf>
    <xf numFmtId="0" fontId="31" fillId="3" borderId="47" xfId="0" applyFont="1" applyFill="1" applyBorder="1" applyAlignment="1">
      <alignment horizontal="centerContinuous" vertical="center" wrapText="1"/>
    </xf>
    <xf numFmtId="0" fontId="11" fillId="3" borderId="45" xfId="0" applyFont="1" applyFill="1" applyBorder="1" applyAlignment="1">
      <alignment horizontal="centerContinuous" vertical="center" wrapText="1"/>
    </xf>
    <xf numFmtId="0" fontId="11" fillId="3" borderId="46" xfId="0" applyFont="1" applyFill="1" applyBorder="1" applyAlignment="1">
      <alignment horizontal="centerContinuous" vertical="center" wrapText="1"/>
    </xf>
    <xf numFmtId="0" fontId="11" fillId="3" borderId="47" xfId="0" applyFont="1" applyFill="1" applyBorder="1" applyAlignment="1">
      <alignment horizontal="centerContinuous" vertical="center" wrapText="1"/>
    </xf>
    <xf numFmtId="0" fontId="28" fillId="3" borderId="35" xfId="0" applyFont="1" applyFill="1" applyBorder="1" applyAlignment="1">
      <alignment horizontal="centerContinuous" vertical="center" wrapText="1"/>
    </xf>
    <xf numFmtId="0" fontId="28" fillId="3" borderId="6" xfId="0" applyFont="1" applyFill="1" applyBorder="1" applyAlignment="1">
      <alignment horizontal="centerContinuous" vertical="center" wrapText="1"/>
    </xf>
    <xf numFmtId="0" fontId="28" fillId="3" borderId="7" xfId="0" applyFont="1" applyFill="1" applyBorder="1" applyAlignment="1">
      <alignment horizontal="centerContinuous" vertical="center" wrapText="1"/>
    </xf>
    <xf numFmtId="0" fontId="53" fillId="3" borderId="45" xfId="0" applyFont="1" applyFill="1" applyBorder="1" applyAlignment="1">
      <alignment horizontal="centerContinuous" vertical="center" wrapText="1"/>
    </xf>
    <xf numFmtId="0" fontId="21" fillId="3" borderId="46" xfId="0" applyFont="1" applyFill="1" applyBorder="1" applyAlignment="1">
      <alignment horizontal="centerContinuous" vertical="center" wrapText="1"/>
    </xf>
    <xf numFmtId="0" fontId="21" fillId="3" borderId="47" xfId="0" applyFont="1" applyFill="1" applyBorder="1" applyAlignment="1">
      <alignment horizontal="centerContinuous" vertical="center" wrapText="1"/>
    </xf>
    <xf numFmtId="0" fontId="6" fillId="4" borderId="45" xfId="0" applyFont="1" applyFill="1" applyBorder="1" applyAlignment="1">
      <alignment horizontal="centerContinuous" vertical="center" wrapText="1"/>
    </xf>
    <xf numFmtId="0" fontId="6" fillId="4" borderId="46" xfId="0" applyFont="1" applyFill="1" applyBorder="1" applyAlignment="1">
      <alignment horizontal="centerContinuous" vertical="center" wrapText="1"/>
    </xf>
    <xf numFmtId="0" fontId="6" fillId="4" borderId="52" xfId="0" applyFont="1" applyFill="1" applyBorder="1" applyAlignment="1">
      <alignment horizontal="centerContinuous" vertical="center" wrapText="1"/>
    </xf>
    <xf numFmtId="0" fontId="6" fillId="4" borderId="48" xfId="0" applyFont="1" applyFill="1" applyBorder="1" applyAlignment="1">
      <alignment horizontal="centerContinuous" vertical="center" wrapText="1"/>
    </xf>
    <xf numFmtId="0" fontId="6" fillId="4" borderId="47" xfId="0" applyFont="1" applyFill="1" applyBorder="1" applyAlignment="1">
      <alignment horizontal="centerContinuous" vertical="center" wrapText="1"/>
    </xf>
    <xf numFmtId="0" fontId="6" fillId="4" borderId="51" xfId="0" applyFont="1" applyFill="1" applyBorder="1" applyAlignment="1">
      <alignment horizontal="centerContinuous" vertical="center" wrapText="1"/>
    </xf>
    <xf numFmtId="0" fontId="6" fillId="4" borderId="33" xfId="0" applyFont="1" applyFill="1" applyBorder="1" applyAlignment="1">
      <alignment horizontal="centerContinuous" vertical="center" wrapText="1"/>
    </xf>
    <xf numFmtId="0" fontId="6" fillId="4" borderId="0" xfId="0" applyFont="1" applyFill="1" applyAlignment="1">
      <alignment horizontal="centerContinuous" vertical="center" wrapText="1"/>
    </xf>
    <xf numFmtId="0" fontId="6" fillId="4" borderId="51" xfId="0" applyFont="1" applyFill="1" applyBorder="1" applyAlignment="1" applyProtection="1">
      <alignment horizontal="centerContinuous" vertical="center" wrapText="1"/>
      <protection locked="0"/>
    </xf>
    <xf numFmtId="0" fontId="6" fillId="4" borderId="52" xfId="0" applyFont="1" applyFill="1" applyBorder="1" applyAlignment="1" applyProtection="1">
      <alignment horizontal="centerContinuous" vertical="center" wrapText="1"/>
      <protection locked="0"/>
    </xf>
    <xf numFmtId="0" fontId="6" fillId="4" borderId="48" xfId="0" applyFont="1" applyFill="1" applyBorder="1" applyAlignment="1" applyProtection="1">
      <alignment horizontal="centerContinuous" vertical="center" wrapText="1"/>
      <protection locked="0"/>
    </xf>
    <xf numFmtId="0" fontId="11" fillId="3" borderId="50" xfId="0" applyFont="1" applyFill="1" applyBorder="1" applyAlignment="1" applyProtection="1">
      <alignment horizontal="center" vertical="center" wrapText="1"/>
      <protection locked="0"/>
    </xf>
    <xf numFmtId="0" fontId="11" fillId="3" borderId="45" xfId="0" applyFont="1" applyFill="1" applyBorder="1" applyAlignment="1" applyProtection="1">
      <alignment horizontal="centerContinuous" vertical="center" wrapText="1"/>
      <protection locked="0"/>
    </xf>
    <xf numFmtId="0" fontId="11" fillId="3" borderId="46" xfId="0" applyFont="1" applyFill="1" applyBorder="1" applyAlignment="1" applyProtection="1">
      <alignment horizontal="centerContinuous" vertical="center" wrapText="1"/>
      <protection locked="0"/>
    </xf>
    <xf numFmtId="0" fontId="11" fillId="3" borderId="47" xfId="0" applyFont="1" applyFill="1" applyBorder="1" applyAlignment="1" applyProtection="1">
      <alignment horizontal="centerContinuous" vertical="center" wrapText="1"/>
      <protection locked="0"/>
    </xf>
    <xf numFmtId="0" fontId="11" fillId="3" borderId="21"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1" xfId="0" applyFont="1" applyFill="1" applyBorder="1" applyAlignment="1">
      <alignment horizontal="center" vertical="center" wrapText="1"/>
    </xf>
    <xf numFmtId="9" fontId="42" fillId="7" borderId="58" xfId="0" applyNumberFormat="1" applyFont="1" applyFill="1" applyBorder="1" applyAlignment="1">
      <alignment horizontal="center" vertical="center" wrapText="1"/>
    </xf>
    <xf numFmtId="9" fontId="43" fillId="7" borderId="58" xfId="0" applyNumberFormat="1" applyFont="1" applyFill="1" applyBorder="1" applyAlignment="1">
      <alignment horizontal="center" vertical="center" wrapText="1"/>
    </xf>
    <xf numFmtId="0" fontId="4" fillId="0" borderId="0" xfId="0" applyFont="1" applyAlignment="1" applyProtection="1">
      <alignment horizontal="centerContinuous" vertical="center" wrapText="1"/>
      <protection locked="0"/>
    </xf>
    <xf numFmtId="0" fontId="25" fillId="0" borderId="0" xfId="0" applyFont="1" applyAlignment="1" applyProtection="1">
      <alignment horizontal="centerContinuous" vertical="center"/>
      <protection locked="0"/>
    </xf>
    <xf numFmtId="0" fontId="30" fillId="0" borderId="0" xfId="0" applyFont="1" applyAlignment="1" applyProtection="1">
      <alignment horizontal="centerContinuous" vertical="center" wrapText="1"/>
      <protection locked="0"/>
    </xf>
    <xf numFmtId="9" fontId="66" fillId="0" borderId="0" xfId="0" applyNumberFormat="1" applyFont="1" applyAlignment="1" applyProtection="1">
      <alignment horizontal="centerContinuous" vertical="center" wrapText="1"/>
      <protection locked="0"/>
    </xf>
    <xf numFmtId="9" fontId="4" fillId="0" borderId="0" xfId="0" applyNumberFormat="1" applyFont="1" applyAlignment="1" applyProtection="1">
      <alignment horizontal="centerContinuous" vertical="center" wrapText="1"/>
      <protection locked="0"/>
    </xf>
    <xf numFmtId="0" fontId="0" fillId="0" borderId="0" xfId="0" applyAlignment="1" applyProtection="1">
      <alignment horizontal="centerContinuous" vertical="center" wrapText="1"/>
      <protection locked="0"/>
    </xf>
    <xf numFmtId="0" fontId="35" fillId="0" borderId="51" xfId="0" applyFont="1" applyBorder="1" applyAlignment="1" applyProtection="1">
      <alignment horizontal="centerContinuous" vertical="center"/>
      <protection locked="0"/>
    </xf>
    <xf numFmtId="0" fontId="33" fillId="0" borderId="52" xfId="0" applyFont="1" applyBorder="1" applyAlignment="1" applyProtection="1">
      <alignment horizontal="centerContinuous" vertical="center"/>
      <protection locked="0"/>
    </xf>
    <xf numFmtId="0" fontId="35" fillId="0" borderId="52" xfId="0" applyFont="1" applyBorder="1" applyAlignment="1" applyProtection="1">
      <alignment horizontal="centerContinuous" vertical="center"/>
      <protection locked="0"/>
    </xf>
    <xf numFmtId="166" fontId="33" fillId="0" borderId="48" xfId="0" applyNumberFormat="1" applyFont="1" applyBorder="1" applyAlignment="1" applyProtection="1">
      <alignment horizontal="centerContinuous" vertical="center"/>
      <protection locked="0"/>
    </xf>
    <xf numFmtId="0" fontId="35" fillId="0" borderId="0" xfId="0" applyFont="1" applyAlignment="1" applyProtection="1">
      <alignment horizontal="centerContinuous" vertical="center"/>
      <protection locked="0"/>
    </xf>
    <xf numFmtId="0" fontId="35" fillId="0" borderId="53" xfId="0" applyFont="1" applyBorder="1" applyAlignment="1" applyProtection="1">
      <alignment horizontal="centerContinuous" vertical="center"/>
      <protection locked="0"/>
    </xf>
    <xf numFmtId="0" fontId="33" fillId="0" borderId="0" xfId="0" applyFont="1" applyAlignment="1" applyProtection="1">
      <alignment horizontal="centerContinuous" vertical="center"/>
      <protection locked="0"/>
    </xf>
    <xf numFmtId="166" fontId="33" fillId="0" borderId="54" xfId="0" applyNumberFormat="1" applyFont="1" applyBorder="1" applyAlignment="1" applyProtection="1">
      <alignment horizontal="centerContinuous" vertical="center"/>
      <protection locked="0"/>
    </xf>
    <xf numFmtId="0" fontId="35" fillId="0" borderId="55" xfId="0" applyFont="1" applyBorder="1" applyAlignment="1" applyProtection="1">
      <alignment horizontal="centerContinuous" vertical="center" wrapText="1"/>
      <protection locked="0"/>
    </xf>
    <xf numFmtId="0" fontId="33" fillId="0" borderId="50" xfId="0" applyFont="1" applyBorder="1" applyAlignment="1" applyProtection="1">
      <alignment horizontal="centerContinuous" vertical="center" wrapText="1"/>
      <protection locked="0"/>
    </xf>
    <xf numFmtId="0" fontId="35" fillId="0" borderId="50" xfId="0" applyFont="1" applyBorder="1" applyAlignment="1" applyProtection="1">
      <alignment horizontal="centerContinuous" vertical="center" wrapText="1"/>
      <protection locked="0"/>
    </xf>
    <xf numFmtId="167" fontId="33" fillId="0" borderId="49" xfId="0" applyNumberFormat="1" applyFont="1" applyBorder="1" applyAlignment="1" applyProtection="1">
      <alignment horizontal="centerContinuous" vertical="center" wrapText="1"/>
      <protection locked="0"/>
    </xf>
    <xf numFmtId="0" fontId="35" fillId="0" borderId="0" xfId="0" applyFont="1" applyAlignment="1" applyProtection="1">
      <alignment horizontal="centerContinuous" vertical="center" wrapText="1"/>
      <protection locked="0"/>
    </xf>
    <xf numFmtId="9" fontId="42" fillId="6" borderId="11" xfId="1" applyFont="1" applyFill="1" applyBorder="1" applyAlignment="1" applyProtection="1">
      <alignment horizontal="center" vertical="center" wrapText="1"/>
    </xf>
    <xf numFmtId="0" fontId="4" fillId="6" borderId="11" xfId="0" applyFont="1" applyFill="1" applyBorder="1" applyAlignment="1">
      <alignment horizontal="center" vertical="center" wrapText="1"/>
    </xf>
    <xf numFmtId="9" fontId="42" fillId="6" borderId="11" xfId="1" applyFont="1" applyFill="1" applyBorder="1" applyAlignment="1" applyProtection="1">
      <alignment horizontal="center" vertical="center" wrapText="1"/>
      <protection hidden="1"/>
    </xf>
    <xf numFmtId="3" fontId="35" fillId="7" borderId="32" xfId="0" applyNumberFormat="1" applyFont="1" applyFill="1" applyBorder="1" applyAlignment="1">
      <alignment horizontal="center" vertical="center" wrapText="1"/>
    </xf>
    <xf numFmtId="0" fontId="53" fillId="3" borderId="47" xfId="0" applyFont="1" applyFill="1" applyBorder="1" applyAlignment="1">
      <alignment horizontal="centerContinuous" vertical="center" wrapText="1"/>
    </xf>
    <xf numFmtId="0" fontId="85" fillId="3" borderId="47" xfId="0" applyFont="1" applyFill="1" applyBorder="1" applyAlignment="1" applyProtection="1">
      <alignment horizontal="centerContinuous" vertical="center" wrapText="1"/>
      <protection locked="0"/>
    </xf>
    <xf numFmtId="0" fontId="56" fillId="3" borderId="46" xfId="0" applyFont="1" applyFill="1" applyBorder="1" applyAlignment="1">
      <alignment horizontal="centerContinuous" vertical="center" wrapText="1"/>
    </xf>
    <xf numFmtId="0" fontId="28" fillId="3" borderId="45" xfId="0" applyFont="1" applyFill="1" applyBorder="1" applyAlignment="1">
      <alignment horizontal="centerContinuous" vertical="center" wrapText="1"/>
    </xf>
    <xf numFmtId="0" fontId="28" fillId="3" borderId="46" xfId="0" applyFont="1" applyFill="1" applyBorder="1" applyAlignment="1">
      <alignment horizontal="centerContinuous" vertical="center" wrapText="1"/>
    </xf>
    <xf numFmtId="0" fontId="28" fillId="3" borderId="47" xfId="0" applyFont="1" applyFill="1" applyBorder="1" applyAlignment="1">
      <alignment horizontal="centerContinuous" vertical="center" wrapText="1"/>
    </xf>
    <xf numFmtId="0" fontId="53" fillId="3" borderId="46" xfId="0" applyFont="1" applyFill="1" applyBorder="1" applyAlignment="1">
      <alignment horizontal="centerContinuous" vertical="center" wrapText="1"/>
    </xf>
    <xf numFmtId="0" fontId="11" fillId="3" borderId="77" xfId="0" applyFont="1" applyFill="1" applyBorder="1" applyAlignment="1">
      <alignment horizontal="center" vertical="center" wrapText="1"/>
    </xf>
    <xf numFmtId="0" fontId="57" fillId="0" borderId="25" xfId="0" applyFont="1" applyBorder="1" applyAlignment="1" applyProtection="1">
      <alignment horizontal="center" vertical="center" wrapText="1"/>
      <protection locked="0"/>
    </xf>
    <xf numFmtId="0" fontId="57" fillId="0" borderId="28" xfId="0" applyFont="1" applyBorder="1" applyAlignment="1" applyProtection="1">
      <alignment horizontal="center" vertical="center" wrapText="1"/>
      <protection locked="0"/>
    </xf>
    <xf numFmtId="0" fontId="57" fillId="0" borderId="78" xfId="0" applyFont="1" applyBorder="1" applyAlignment="1" applyProtection="1">
      <alignment horizontal="center" vertical="center" wrapText="1"/>
      <protection locked="0"/>
    </xf>
    <xf numFmtId="9" fontId="33" fillId="7" borderId="30" xfId="0" applyNumberFormat="1" applyFont="1" applyFill="1" applyBorder="1" applyAlignment="1">
      <alignment horizontal="center" vertical="center" wrapText="1"/>
    </xf>
    <xf numFmtId="0" fontId="35" fillId="7" borderId="39" xfId="0" applyFont="1" applyFill="1" applyBorder="1" applyAlignment="1">
      <alignment horizontal="left" vertical="center" wrapText="1"/>
    </xf>
    <xf numFmtId="9" fontId="40" fillId="7" borderId="8" xfId="0" applyNumberFormat="1" applyFont="1" applyFill="1" applyBorder="1" applyAlignment="1">
      <alignment horizontal="center" vertical="center" wrapText="1"/>
    </xf>
    <xf numFmtId="0" fontId="4" fillId="0" borderId="76" xfId="0" applyFont="1" applyBorder="1" applyAlignment="1">
      <alignment horizontal="center" vertical="center" wrapText="1"/>
    </xf>
    <xf numFmtId="0" fontId="4" fillId="6" borderId="11" xfId="0" applyFont="1" applyFill="1" applyBorder="1" applyAlignment="1" applyProtection="1">
      <alignment horizontal="center" vertical="center" wrapText="1"/>
      <protection hidden="1"/>
    </xf>
    <xf numFmtId="0" fontId="4" fillId="6" borderId="1" xfId="0" applyFont="1" applyFill="1" applyBorder="1" applyAlignment="1" applyProtection="1">
      <alignment horizontal="center" vertical="center" wrapText="1"/>
      <protection hidden="1"/>
    </xf>
    <xf numFmtId="9" fontId="42" fillId="6" borderId="1" xfId="1" applyFont="1" applyFill="1" applyBorder="1" applyAlignment="1" applyProtection="1">
      <alignment horizontal="center" vertical="center" wrapText="1"/>
      <protection hidden="1"/>
    </xf>
    <xf numFmtId="0" fontId="4" fillId="6" borderId="10" xfId="0" applyFont="1" applyFill="1" applyBorder="1" applyAlignment="1" applyProtection="1">
      <alignment horizontal="center" vertical="center" wrapText="1"/>
      <protection hidden="1"/>
    </xf>
    <xf numFmtId="9" fontId="42" fillId="6" borderId="10" xfId="1" applyFont="1" applyFill="1" applyBorder="1" applyAlignment="1" applyProtection="1">
      <alignment horizontal="center" vertical="center" wrapText="1"/>
      <protection hidden="1"/>
    </xf>
    <xf numFmtId="3" fontId="4" fillId="6" borderId="11" xfId="0" applyNumberFormat="1" applyFont="1" applyFill="1" applyBorder="1" applyAlignment="1" applyProtection="1">
      <alignment horizontal="center" vertical="center" wrapText="1"/>
      <protection hidden="1"/>
    </xf>
    <xf numFmtId="9" fontId="40" fillId="6" borderId="11" xfId="1" applyFont="1" applyFill="1" applyBorder="1" applyAlignment="1" applyProtection="1">
      <alignment horizontal="center" vertical="center" wrapText="1"/>
      <protection hidden="1"/>
    </xf>
    <xf numFmtId="3" fontId="4" fillId="6" borderId="1" xfId="0" applyNumberFormat="1" applyFont="1" applyFill="1" applyBorder="1" applyAlignment="1" applyProtection="1">
      <alignment horizontal="center" vertical="center" wrapText="1"/>
      <protection hidden="1"/>
    </xf>
    <xf numFmtId="9" fontId="40" fillId="6" borderId="1" xfId="1" applyFont="1" applyFill="1" applyBorder="1" applyAlignment="1" applyProtection="1">
      <alignment horizontal="center" vertical="center" wrapText="1"/>
      <protection hidden="1"/>
    </xf>
    <xf numFmtId="3" fontId="4" fillId="6" borderId="10" xfId="0" applyNumberFormat="1" applyFont="1" applyFill="1" applyBorder="1" applyAlignment="1" applyProtection="1">
      <alignment horizontal="center" vertical="center" wrapText="1"/>
      <protection hidden="1"/>
    </xf>
    <xf numFmtId="9" fontId="40" fillId="6" borderId="10" xfId="1" applyFont="1" applyFill="1" applyBorder="1" applyAlignment="1" applyProtection="1">
      <alignment horizontal="center" vertical="center" wrapText="1"/>
      <protection hidden="1"/>
    </xf>
    <xf numFmtId="0" fontId="11" fillId="3" borderId="58" xfId="0" applyFont="1" applyFill="1" applyBorder="1" applyAlignment="1">
      <alignment horizontal="center" vertical="center" wrapText="1"/>
    </xf>
    <xf numFmtId="9" fontId="56" fillId="3" borderId="50" xfId="0" applyNumberFormat="1"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1" fillId="3" borderId="34" xfId="0" applyFont="1" applyFill="1" applyBorder="1" applyAlignment="1" applyProtection="1">
      <alignment horizontal="center" vertical="center" wrapText="1"/>
      <protection locked="0"/>
    </xf>
    <xf numFmtId="0" fontId="11" fillId="3" borderId="74" xfId="0" applyFont="1" applyFill="1" applyBorder="1" applyAlignment="1" applyProtection="1">
      <alignment horizontal="center" vertical="center" wrapText="1"/>
      <protection locked="0"/>
    </xf>
    <xf numFmtId="0" fontId="11" fillId="3" borderId="72" xfId="0" applyFont="1" applyFill="1" applyBorder="1" applyAlignment="1" applyProtection="1">
      <alignment horizontal="center" vertical="center" wrapText="1"/>
      <protection locked="0"/>
    </xf>
    <xf numFmtId="0" fontId="11" fillId="3" borderId="75" xfId="0" applyFont="1" applyFill="1" applyBorder="1" applyAlignment="1" applyProtection="1">
      <alignment horizontal="center" vertical="center" wrapText="1"/>
      <protection locked="0"/>
    </xf>
    <xf numFmtId="0" fontId="15" fillId="4" borderId="45" xfId="0" applyFont="1" applyFill="1" applyBorder="1" applyAlignment="1" applyProtection="1">
      <alignment horizontal="center" vertical="center" wrapText="1"/>
      <protection locked="0"/>
    </xf>
    <xf numFmtId="0" fontId="15" fillId="4" borderId="46" xfId="0" applyFont="1" applyFill="1" applyBorder="1" applyAlignment="1" applyProtection="1">
      <alignment horizontal="center" vertical="center" wrapText="1"/>
      <protection locked="0"/>
    </xf>
    <xf numFmtId="0" fontId="15" fillId="4" borderId="47" xfId="0" applyFont="1" applyFill="1" applyBorder="1" applyAlignment="1" applyProtection="1">
      <alignment horizontal="center" vertical="center" wrapText="1"/>
      <protection locked="0"/>
    </xf>
    <xf numFmtId="0" fontId="11" fillId="3" borderId="45" xfId="0" applyFont="1" applyFill="1" applyBorder="1" applyAlignment="1" applyProtection="1">
      <alignment horizontal="center" vertical="center" wrapText="1"/>
      <protection locked="0"/>
    </xf>
    <xf numFmtId="0" fontId="11" fillId="3" borderId="47" xfId="0" applyFont="1" applyFill="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20" fillId="0" borderId="33" xfId="0" applyFont="1" applyBorder="1" applyAlignment="1" applyProtection="1">
      <alignment horizontal="left" vertical="center" wrapText="1"/>
      <protection locked="0"/>
    </xf>
    <xf numFmtId="0" fontId="20" fillId="0" borderId="44" xfId="0" applyFont="1" applyBorder="1" applyAlignment="1" applyProtection="1">
      <alignment horizontal="left" vertical="center" wrapText="1"/>
      <protection locked="0"/>
    </xf>
    <xf numFmtId="0" fontId="11" fillId="3" borderId="5" xfId="0" applyFont="1" applyFill="1" applyBorder="1" applyAlignment="1" applyProtection="1">
      <alignment horizontal="center" vertical="center" wrapText="1"/>
      <protection locked="0"/>
    </xf>
    <xf numFmtId="0" fontId="11" fillId="3" borderId="23" xfId="0" applyFont="1" applyFill="1" applyBorder="1" applyAlignment="1" applyProtection="1">
      <alignment horizontal="center" vertical="center" wrapText="1"/>
      <protection locked="0"/>
    </xf>
    <xf numFmtId="0" fontId="11" fillId="3" borderId="2" xfId="0" applyFont="1" applyFill="1" applyBorder="1" applyAlignment="1" applyProtection="1">
      <alignment horizontal="center" vertical="center" wrapText="1"/>
      <protection locked="0"/>
    </xf>
    <xf numFmtId="0" fontId="11" fillId="3" borderId="20" xfId="0" applyFont="1" applyFill="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20" fillId="0" borderId="12" xfId="0" applyFont="1" applyBorder="1" applyAlignment="1" applyProtection="1">
      <alignment horizontal="left" vertical="center" wrapText="1"/>
      <protection locked="0"/>
    </xf>
    <xf numFmtId="0" fontId="20" fillId="0" borderId="10" xfId="0" applyFont="1" applyBorder="1" applyAlignment="1" applyProtection="1">
      <alignment horizontal="left" vertical="center" wrapText="1"/>
      <protection locked="0"/>
    </xf>
    <xf numFmtId="0" fontId="20" fillId="0" borderId="2" xfId="0" applyFont="1" applyBorder="1" applyAlignment="1" applyProtection="1">
      <alignment horizontal="left" vertical="center" wrapText="1"/>
      <protection locked="0"/>
    </xf>
    <xf numFmtId="0" fontId="20" fillId="0" borderId="24" xfId="0" applyFont="1" applyBorder="1" applyAlignment="1" applyProtection="1">
      <alignment horizontal="left" vertical="center" wrapText="1"/>
      <protection locked="0"/>
    </xf>
    <xf numFmtId="0" fontId="21" fillId="3" borderId="3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50" fillId="5" borderId="45" xfId="0" applyFont="1" applyFill="1" applyBorder="1" applyAlignment="1">
      <alignment horizontal="left" vertical="center" wrapText="1"/>
    </xf>
    <xf numFmtId="0" fontId="15" fillId="5" borderId="46" xfId="0" applyFont="1" applyFill="1" applyBorder="1" applyAlignment="1">
      <alignment horizontal="left" vertical="center" wrapText="1"/>
    </xf>
    <xf numFmtId="0" fontId="15" fillId="5" borderId="47" xfId="0" applyFont="1" applyFill="1" applyBorder="1" applyAlignment="1">
      <alignment horizontal="left" vertical="center" wrapText="1"/>
    </xf>
    <xf numFmtId="0" fontId="11" fillId="3" borderId="3"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39"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23" xfId="0" applyFont="1" applyFill="1" applyBorder="1" applyAlignment="1">
      <alignment horizontal="center" vertical="center" wrapText="1"/>
    </xf>
    <xf numFmtId="0" fontId="31" fillId="3" borderId="38" xfId="0" applyFont="1" applyFill="1" applyBorder="1" applyAlignment="1">
      <alignment horizontal="center" vertical="center" wrapText="1"/>
    </xf>
    <xf numFmtId="0" fontId="31" fillId="3" borderId="21" xfId="0" applyFont="1" applyFill="1" applyBorder="1" applyAlignment="1">
      <alignment horizontal="center" vertical="center" wrapText="1"/>
    </xf>
    <xf numFmtId="0" fontId="28" fillId="3" borderId="35"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28" fillId="3" borderId="16" xfId="0" applyFont="1" applyFill="1" applyBorder="1" applyAlignment="1">
      <alignment horizontal="center" vertical="center" wrapText="1"/>
    </xf>
    <xf numFmtId="0" fontId="28" fillId="3" borderId="26"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35" fillId="0" borderId="35" xfId="0" applyFont="1" applyBorder="1" applyAlignment="1" applyProtection="1">
      <alignment horizontal="center" vertical="top" wrapText="1"/>
      <protection locked="0"/>
    </xf>
    <xf numFmtId="0" fontId="35" fillId="0" borderId="6" xfId="0" applyFont="1" applyBorder="1" applyAlignment="1" applyProtection="1">
      <alignment horizontal="center" vertical="top" wrapText="1"/>
      <protection locked="0"/>
    </xf>
    <xf numFmtId="0" fontId="35" fillId="0" borderId="65" xfId="0" applyFont="1" applyBorder="1" applyAlignment="1" applyProtection="1">
      <alignment horizontal="center" vertical="top" wrapText="1"/>
      <protection locked="0"/>
    </xf>
    <xf numFmtId="0" fontId="35" fillId="0" borderId="66" xfId="0" applyFont="1" applyBorder="1" applyAlignment="1" applyProtection="1">
      <alignment horizontal="center" vertical="top" wrapText="1"/>
      <protection locked="0"/>
    </xf>
    <xf numFmtId="0" fontId="35" fillId="0" borderId="60" xfId="0" applyFont="1" applyBorder="1" applyAlignment="1" applyProtection="1">
      <alignment horizontal="center" vertical="top" wrapText="1"/>
      <protection locked="0"/>
    </xf>
    <xf numFmtId="0" fontId="35" fillId="0" borderId="67" xfId="0" applyFont="1" applyBorder="1" applyAlignment="1" applyProtection="1">
      <alignment horizontal="center" vertical="top" wrapText="1"/>
      <protection locked="0"/>
    </xf>
    <xf numFmtId="0" fontId="15" fillId="4" borderId="10"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5" fillId="4" borderId="57"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1" fillId="3" borderId="60" xfId="0" applyFont="1" applyFill="1" applyBorder="1" applyAlignment="1">
      <alignment horizontal="center" vertical="center" wrapText="1"/>
    </xf>
    <xf numFmtId="0" fontId="11" fillId="3" borderId="62" xfId="0" applyFont="1" applyFill="1" applyBorder="1" applyAlignment="1">
      <alignment horizontal="center" vertical="center" wrapText="1"/>
    </xf>
    <xf numFmtId="0" fontId="11" fillId="3" borderId="63" xfId="0" applyFont="1" applyFill="1" applyBorder="1" applyAlignment="1">
      <alignment horizontal="center" vertical="center" wrapText="1"/>
    </xf>
    <xf numFmtId="0" fontId="31" fillId="3" borderId="45" xfId="0" applyFont="1" applyFill="1" applyBorder="1" applyAlignment="1">
      <alignment horizontal="center" vertical="center" wrapText="1"/>
    </xf>
    <xf numFmtId="0" fontId="31" fillId="3" borderId="46" xfId="0" applyFont="1" applyFill="1" applyBorder="1" applyAlignment="1">
      <alignment horizontal="center" vertical="center" wrapText="1"/>
    </xf>
    <xf numFmtId="0" fontId="53" fillId="3" borderId="45" xfId="0" applyFont="1" applyFill="1" applyBorder="1" applyAlignment="1">
      <alignment horizontal="center" vertical="center" wrapText="1"/>
    </xf>
    <xf numFmtId="0" fontId="21" fillId="3" borderId="46" xfId="0" applyFont="1" applyFill="1" applyBorder="1" applyAlignment="1">
      <alignment horizontal="center" vertical="center" wrapText="1"/>
    </xf>
    <xf numFmtId="0" fontId="21" fillId="3" borderId="47" xfId="0" applyFont="1" applyFill="1" applyBorder="1" applyAlignment="1">
      <alignment horizontal="center" vertical="center" wrapText="1"/>
    </xf>
    <xf numFmtId="0" fontId="31" fillId="3" borderId="43" xfId="0" applyFont="1" applyFill="1" applyBorder="1" applyAlignment="1">
      <alignment horizontal="center" vertical="center" wrapText="1"/>
    </xf>
    <xf numFmtId="0" fontId="31" fillId="3" borderId="39"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31" fillId="3" borderId="43" xfId="0" applyFont="1" applyFill="1" applyBorder="1" applyAlignment="1" applyProtection="1">
      <alignment horizontal="center" vertical="center" wrapText="1"/>
      <protection locked="0"/>
    </xf>
    <xf numFmtId="0" fontId="31" fillId="3" borderId="39"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11" fillId="3" borderId="43" xfId="0" applyFont="1" applyFill="1" applyBorder="1" applyAlignment="1" applyProtection="1">
      <alignment horizontal="center" vertical="center" wrapText="1"/>
      <protection locked="0"/>
    </xf>
    <xf numFmtId="0" fontId="11" fillId="3" borderId="39" xfId="0" applyFont="1" applyFill="1" applyBorder="1" applyAlignment="1" applyProtection="1">
      <alignment horizontal="center" vertical="center" wrapText="1"/>
      <protection locked="0"/>
    </xf>
    <xf numFmtId="0" fontId="11" fillId="3" borderId="41" xfId="0" applyFont="1" applyFill="1" applyBorder="1" applyAlignment="1" applyProtection="1">
      <alignment horizontal="center" vertical="center" wrapText="1"/>
      <protection locked="0"/>
    </xf>
    <xf numFmtId="0" fontId="11" fillId="3" borderId="42" xfId="0" applyFont="1" applyFill="1" applyBorder="1" applyAlignment="1" applyProtection="1">
      <alignment horizontal="center" vertical="center" wrapText="1"/>
      <protection locked="0"/>
    </xf>
    <xf numFmtId="0" fontId="11" fillId="3" borderId="35" xfId="0" applyFont="1" applyFill="1" applyBorder="1" applyAlignment="1" applyProtection="1">
      <alignment horizontal="center" vertical="center" wrapText="1"/>
      <protection locked="0"/>
    </xf>
    <xf numFmtId="0" fontId="11" fillId="3" borderId="6" xfId="0" applyFont="1" applyFill="1" applyBorder="1" applyAlignment="1" applyProtection="1">
      <alignment horizontal="center" vertical="center" wrapText="1"/>
      <protection locked="0"/>
    </xf>
    <xf numFmtId="0" fontId="11" fillId="3" borderId="7" xfId="0" applyFont="1" applyFill="1" applyBorder="1" applyAlignment="1" applyProtection="1">
      <alignment horizontal="center" vertical="center" wrapText="1"/>
      <protection locked="0"/>
    </xf>
    <xf numFmtId="0" fontId="31" fillId="3" borderId="3" xfId="0" applyFont="1" applyFill="1" applyBorder="1" applyAlignment="1" applyProtection="1">
      <alignment horizontal="center" vertical="center" wrapText="1"/>
      <protection locked="0"/>
    </xf>
    <xf numFmtId="0" fontId="31" fillId="3" borderId="23" xfId="0" applyFont="1" applyFill="1" applyBorder="1" applyAlignment="1" applyProtection="1">
      <alignment horizontal="center" vertical="center" wrapText="1"/>
      <protection locked="0"/>
    </xf>
    <xf numFmtId="0" fontId="53" fillId="3" borderId="45" xfId="0" applyFont="1" applyFill="1" applyBorder="1" applyAlignment="1" applyProtection="1">
      <alignment horizontal="center" vertical="center" wrapText="1"/>
      <protection locked="0"/>
    </xf>
    <xf numFmtId="0" fontId="21" fillId="3" borderId="46" xfId="0" applyFont="1" applyFill="1" applyBorder="1" applyAlignment="1" applyProtection="1">
      <alignment horizontal="center" vertical="center" wrapText="1"/>
      <protection locked="0"/>
    </xf>
    <xf numFmtId="0" fontId="21" fillId="3" borderId="47" xfId="0" applyFont="1" applyFill="1" applyBorder="1" applyAlignment="1" applyProtection="1">
      <alignment horizontal="center" vertical="center" wrapText="1"/>
      <protection locked="0"/>
    </xf>
    <xf numFmtId="0" fontId="11" fillId="3" borderId="46" xfId="0" applyFont="1" applyFill="1" applyBorder="1" applyAlignment="1" applyProtection="1">
      <alignment horizontal="center" vertical="center" wrapText="1"/>
      <protection locked="0"/>
    </xf>
    <xf numFmtId="0" fontId="28" fillId="3" borderId="35" xfId="0" applyFont="1" applyFill="1" applyBorder="1" applyAlignment="1" applyProtection="1">
      <alignment horizontal="center" vertical="center" wrapText="1"/>
      <protection locked="0"/>
    </xf>
    <xf numFmtId="0" fontId="28" fillId="3" borderId="6" xfId="0" applyFont="1" applyFill="1" applyBorder="1" applyAlignment="1" applyProtection="1">
      <alignment horizontal="center" vertical="center" wrapText="1"/>
      <protection locked="0"/>
    </xf>
    <xf numFmtId="0" fontId="28" fillId="3" borderId="7" xfId="0" applyFont="1" applyFill="1" applyBorder="1" applyAlignment="1" applyProtection="1">
      <alignment horizontal="center" vertical="center" wrapText="1"/>
      <protection locked="0"/>
    </xf>
    <xf numFmtId="0" fontId="31" fillId="3" borderId="41" xfId="0" applyFont="1" applyFill="1" applyBorder="1" applyAlignment="1">
      <alignment horizontal="center" vertical="center" wrapText="1"/>
    </xf>
    <xf numFmtId="0" fontId="31" fillId="3" borderId="42" xfId="0" applyFont="1" applyFill="1" applyBorder="1" applyAlignment="1">
      <alignment horizontal="center" vertical="center" wrapText="1"/>
    </xf>
  </cellXfs>
  <cellStyles count="6">
    <cellStyle name="Currency" xfId="5" builtinId="4"/>
    <cellStyle name="Currency 2" xfId="3" xr:uid="{00000000-0005-0000-0000-000000000000}"/>
    <cellStyle name="Hyperlink" xfId="4" builtinId="8"/>
    <cellStyle name="Normal" xfId="0" builtinId="0"/>
    <cellStyle name="Normal 2" xfId="2" xr:uid="{00000000-0005-0000-0000-000003000000}"/>
    <cellStyle name="Per cent" xfId="1" builtinId="5"/>
  </cellStyles>
  <dxfs count="2997">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strike val="0"/>
        <outline val="0"/>
        <shadow val="0"/>
        <u val="none"/>
        <vertAlign val="baseline"/>
        <sz val="12"/>
        <color auto="1"/>
        <name val="Futura Bk BT"/>
        <family val="2"/>
        <scheme val="none"/>
      </font>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00CC0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strike val="0"/>
        <outline val="0"/>
        <shadow val="0"/>
        <u val="none"/>
        <vertAlign val="baseline"/>
        <sz val="11"/>
        <color auto="1"/>
        <name val="Futura Bk BT"/>
        <family val="2"/>
        <scheme val="none"/>
      </font>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scheme val="none"/>
      </font>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rgb="FF00B050"/>
        <name val="Futura Bk BT"/>
        <family val="2"/>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rgb="FF00B050"/>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auto="1"/>
        <name val="Futura Bk BT"/>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family val="2"/>
        <scheme val="none"/>
      </font>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sz val="12"/>
        <name val="Futura Bk BT"/>
        <family val="2"/>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sz val="12"/>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top style="medium">
          <color indexed="64"/>
        </top>
        <bottom style="medium">
          <color indexed="64"/>
        </bottom>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medium">
          <color indexed="64"/>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2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style="medium">
          <color indexed="64"/>
        </right>
        <top style="thin">
          <color indexed="64"/>
        </top>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border diagonalUp="0" diagonalDown="0">
        <left style="thin">
          <color indexed="64"/>
        </left>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protection locked="0" hidden="0"/>
    </dxf>
    <dxf>
      <border outline="0">
        <left style="thin">
          <color indexed="64"/>
        </left>
        <right style="thin">
          <color indexed="64"/>
        </right>
      </border>
    </dxf>
    <dxf>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bottom style="medium">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00CC0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bottom style="medium">
          <color indexed="64"/>
        </bottom>
      </border>
    </dxf>
    <dxf>
      <font>
        <strike val="0"/>
        <outline val="0"/>
        <shadow val="0"/>
        <u val="none"/>
        <vertAlign val="baseline"/>
        <sz val="12"/>
        <color auto="1"/>
        <name val="Futura Bk BT"/>
        <family val="2"/>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bottom style="medium">
          <color indexed="64"/>
        </bottom>
      </border>
    </dxf>
    <dxf>
      <font>
        <strike val="0"/>
        <outline val="0"/>
        <shadow val="0"/>
        <u val="none"/>
        <vertAlign val="baseline"/>
        <sz val="11"/>
        <color auto="1"/>
        <name val="Futura Bk BT"/>
        <family val="2"/>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rgb="FF00CC0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bottom style="medium">
          <color indexed="64"/>
        </bottom>
      </border>
    </dxf>
    <dxf>
      <font>
        <b val="0"/>
        <strike val="0"/>
        <outline val="0"/>
        <shadow val="0"/>
        <u val="none"/>
        <vertAlign val="baseline"/>
        <sz val="12"/>
        <color auto="1"/>
        <name val="Futura Bk BT"/>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rgb="FF00CC0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bottom style="medium">
          <color indexed="64"/>
        </bottom>
      </border>
    </dxf>
    <dxf>
      <fill>
        <patternFill patternType="darkUp">
          <fgColor theme="0" tint="-0.14996795556505021"/>
          <bgColor indexed="65"/>
        </patternFill>
      </fill>
      <border>
        <right style="thin">
          <color indexed="64"/>
        </right>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00B050"/>
        <name val="Futura Bk BT"/>
        <family val="2"/>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00B050"/>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bottom style="medium">
          <color indexed="64"/>
        </bottom>
      </border>
    </dxf>
    <dxf>
      <font>
        <b val="0"/>
        <i val="0"/>
        <strike val="0"/>
        <condense val="0"/>
        <extend val="0"/>
        <outline val="0"/>
        <shadow val="0"/>
        <u val="none"/>
        <vertAlign val="baseline"/>
        <sz val="12"/>
        <color auto="1"/>
        <name val="Futura Bk BT"/>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bottom style="medium">
          <color indexed="64"/>
        </bottom>
      </border>
    </dxf>
    <dxf>
      <font>
        <b/>
        <i val="0"/>
        <strike val="0"/>
        <condense val="0"/>
        <extend val="0"/>
        <outline val="0"/>
        <shadow val="0"/>
        <u val="none"/>
        <vertAlign val="baseline"/>
        <sz val="11"/>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bottom style="medium">
          <color indexed="64"/>
        </bottom>
      </border>
    </dxf>
    <dxf>
      <font>
        <b val="0"/>
        <strike val="0"/>
        <outline val="0"/>
        <shadow val="0"/>
        <u val="none"/>
        <vertAlign val="baseline"/>
        <sz val="12"/>
        <color auto="1"/>
        <name val="Futura Bk BT"/>
        <family val="2"/>
        <scheme val="none"/>
      </font>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bottom style="medium">
          <color indexed="64"/>
        </bottom>
      </border>
    </dxf>
    <dxf>
      <font>
        <b/>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font>
        <sz val="12"/>
        <name val="Futura Bk BT"/>
        <family val="2"/>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font>
        <sz val="12"/>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bottom style="medium">
          <color indexed="64"/>
        </bottom>
      </border>
    </dxf>
    <dxf>
      <font>
        <b val="0"/>
        <strike val="0"/>
        <outline val="0"/>
        <shadow val="0"/>
        <u val="none"/>
        <vertAlign val="baseline"/>
        <sz val="12"/>
        <color auto="1"/>
        <name val="Futura Bk BT"/>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top/>
        <bottom style="medium">
          <color indexed="64"/>
        </bottom>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style="thin">
          <color indexed="64"/>
        </right>
        <top/>
        <bottom style="medium">
          <color indexed="64"/>
        </bottom>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medium">
          <color indexed="64"/>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2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style="medium">
          <color indexed="64"/>
        </right>
        <top style="thin">
          <color indexed="64"/>
        </top>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protection locked="0" hidden="0"/>
    </dxf>
    <dxf>
      <border outline="0">
        <left style="thin">
          <color indexed="64"/>
        </left>
        <right style="thin">
          <color indexed="64"/>
        </right>
      </border>
    </dxf>
    <dxf>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bottom style="medium">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bottom style="medium">
          <color indexed="64"/>
        </bottom>
      </border>
    </dxf>
    <dxf>
      <font>
        <strike val="0"/>
        <outline val="0"/>
        <shadow val="0"/>
        <u val="none"/>
        <vertAlign val="baseline"/>
        <sz val="12"/>
        <color auto="1"/>
        <name val="Futura Bk BT"/>
        <family val="2"/>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bottom style="medium">
          <color indexed="64"/>
        </bottom>
      </border>
    </dxf>
    <dxf>
      <font>
        <strike val="0"/>
        <outline val="0"/>
        <shadow val="0"/>
        <u val="none"/>
        <vertAlign val="baseline"/>
        <sz val="11"/>
        <color auto="1"/>
        <name val="Futura Bk BT"/>
        <family val="2"/>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bottom style="medium">
          <color indexed="64"/>
        </bottom>
      </border>
    </dxf>
    <dxf>
      <font>
        <b val="0"/>
        <strike val="0"/>
        <outline val="0"/>
        <shadow val="0"/>
        <u val="none"/>
        <vertAlign val="baseline"/>
        <sz val="12"/>
        <color auto="1"/>
        <name val="Futura Bk BT"/>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bottom style="medium">
          <color indexed="64"/>
        </bottom>
      </border>
    </dxf>
    <dxf>
      <font>
        <b/>
        <i val="0"/>
        <strike val="0"/>
        <condense val="0"/>
        <extend val="0"/>
        <outline val="0"/>
        <shadow val="0"/>
        <u val="none"/>
        <vertAlign val="baseline"/>
        <sz val="11"/>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00B050"/>
        <name val="Futura Bk BT"/>
        <family val="2"/>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00B050"/>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bottom style="medium">
          <color indexed="64"/>
        </bottom>
      </border>
    </dxf>
    <dxf>
      <font>
        <b val="0"/>
        <i val="0"/>
        <strike val="0"/>
        <condense val="0"/>
        <extend val="0"/>
        <outline val="0"/>
        <shadow val="0"/>
        <u val="none"/>
        <vertAlign val="baseline"/>
        <sz val="12"/>
        <color auto="1"/>
        <name val="Futura Bk BT"/>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bottom style="medium">
          <color indexed="64"/>
        </bottom>
      </border>
    </dxf>
    <dxf>
      <font>
        <b/>
        <i val="0"/>
        <strike val="0"/>
        <condense val="0"/>
        <extend val="0"/>
        <outline val="0"/>
        <shadow val="0"/>
        <u val="none"/>
        <vertAlign val="baseline"/>
        <sz val="11"/>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bottom style="medium">
          <color indexed="64"/>
        </bottom>
      </border>
    </dxf>
    <dxf>
      <font>
        <b val="0"/>
        <strike val="0"/>
        <outline val="0"/>
        <shadow val="0"/>
        <u val="none"/>
        <vertAlign val="baseline"/>
        <sz val="12"/>
        <color auto="1"/>
        <name val="Futura Bk BT"/>
        <scheme val="none"/>
      </font>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bottom style="medium">
          <color indexed="64"/>
        </bottom>
      </border>
    </dxf>
    <dxf>
      <font>
        <b/>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font>
        <sz val="12"/>
        <name val="Futura Bk BT"/>
        <family val="2"/>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font>
        <sz val="12"/>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bottom style="medium">
          <color indexed="64"/>
        </bottom>
      </border>
    </dxf>
    <dxf>
      <font>
        <b val="0"/>
        <strike val="0"/>
        <outline val="0"/>
        <shadow val="0"/>
        <u val="none"/>
        <vertAlign val="baseline"/>
        <sz val="12"/>
        <color auto="1"/>
        <name val="Futura Bk BT"/>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top/>
        <bottom style="medium">
          <color indexed="64"/>
        </bottom>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style="thin">
          <color indexed="64"/>
        </right>
        <top/>
        <bottom style="medium">
          <color indexed="64"/>
        </bottom>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medium">
          <color indexed="64"/>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2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style="medium">
          <color indexed="64"/>
        </right>
        <top style="thin">
          <color indexed="64"/>
        </top>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protection locked="0" hidden="0"/>
    </dxf>
    <dxf>
      <border outline="0">
        <left style="thin">
          <color indexed="64"/>
        </left>
        <right style="thin">
          <color indexed="64"/>
        </right>
      </border>
    </dxf>
    <dxf>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92D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strike val="0"/>
        <outline val="0"/>
        <shadow val="0"/>
        <u val="none"/>
        <vertAlign val="baseline"/>
        <sz val="12"/>
        <color auto="1"/>
        <name val="Futura Bk BT"/>
        <family val="2"/>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strike val="0"/>
        <outline val="0"/>
        <shadow val="0"/>
        <u val="none"/>
        <vertAlign val="baseline"/>
        <sz val="11"/>
        <color auto="1"/>
        <name val="Futura Bk BT"/>
        <family val="2"/>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family val="2"/>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rgb="FF00B050"/>
        <name val="Futura Bk BT"/>
        <family val="2"/>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rgb="FF00B050"/>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auto="1"/>
        <name val="Futura Bk BT"/>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scheme val="none"/>
      </font>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sz val="12"/>
        <name val="Futura Bk BT"/>
        <family val="2"/>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sz val="12"/>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top style="medium">
          <color indexed="64"/>
        </top>
        <bottom style="medium">
          <color indexed="64"/>
        </bottom>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medium">
          <color indexed="64"/>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2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style="medium">
          <color indexed="64"/>
        </right>
        <top style="thin">
          <color indexed="64"/>
        </top>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border diagonalUp="0" diagonalDown="0">
        <left style="thin">
          <color indexed="64"/>
        </left>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protection locked="0" hidden="0"/>
    </dxf>
    <dxf>
      <border outline="0">
        <left style="thin">
          <color indexed="64"/>
        </left>
        <right style="thin">
          <color indexed="64"/>
        </right>
      </border>
    </dxf>
    <dxf>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color rgb="FFFF0000"/>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strike val="0"/>
        <outline val="0"/>
        <shadow val="0"/>
        <u val="none"/>
        <vertAlign val="baseline"/>
        <color rgb="FF00B050"/>
        <name val="Futura Bk BT"/>
        <scheme val="none"/>
      </font>
      <numFmt numFmtId="13" formatCode="0%"/>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color auto="1"/>
        <name val="Futura Bk BT"/>
        <family val="2"/>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strike val="0"/>
        <outline val="0"/>
        <shadow val="0"/>
        <u val="none"/>
        <vertAlign val="baseline"/>
        <color rgb="FF00B050"/>
        <name val="Futura Bk BT"/>
        <scheme val="none"/>
      </font>
      <numFmt numFmtId="13" formatCode="0%"/>
      <fill>
        <patternFill patternType="darkUp">
          <fgColor theme="0" tint="-0.14996795556505021"/>
          <bgColor indexed="65"/>
        </patternFill>
      </fill>
      <border diagonalUp="0" diagonalDown="0">
        <left style="thin">
          <color indexed="64"/>
        </left>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color auto="1"/>
        <name val="Futura Bk BT"/>
        <family val="2"/>
        <scheme val="none"/>
      </font>
      <numFmt numFmtId="0" formatCode="General"/>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strike val="0"/>
        <outline val="0"/>
        <shadow val="0"/>
        <u val="none"/>
        <vertAlign val="baseline"/>
        <color rgb="FF00B050"/>
        <name val="Futura Bk BT"/>
        <scheme val="none"/>
      </font>
      <numFmt numFmtId="13" formatCode="0%"/>
      <fill>
        <patternFill patternType="darkUp">
          <fgColor theme="0" tint="-0.14996795556505021"/>
          <bgColor indexed="65"/>
        </patternFill>
      </fill>
      <border diagonalUp="0" diagonalDown="0">
        <left style="thin">
          <color indexed="64"/>
        </left>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color auto="1"/>
        <name val="Futura Bk BT"/>
        <family val="2"/>
        <scheme val="none"/>
      </font>
      <numFmt numFmtId="0" formatCode="General"/>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rgb="FF00B050"/>
        <name val="Futura Bk BT"/>
        <family val="2"/>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rgb="FF00B050"/>
        <name val="Futura Bk BT"/>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auto="1"/>
        <name val="Futura Bk BT"/>
        <family val="2"/>
        <scheme val="none"/>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strike val="0"/>
        <outline val="0"/>
        <shadow val="0"/>
        <u val="none"/>
        <vertAlign val="baseline"/>
        <color rgb="FF00B050"/>
        <name val="Futura Bk BT"/>
        <scheme val="none"/>
      </font>
      <numFmt numFmtId="13" formatCode="0%"/>
      <fill>
        <patternFill patternType="darkUp">
          <fgColor theme="0" tint="-0.14996795556505021"/>
          <bgColor indexed="65"/>
        </patternFill>
      </fill>
      <border diagonalUp="0" diagonalDown="0">
        <left style="thin">
          <color indexed="64"/>
        </left>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color auto="1"/>
        <name val="Futura Bk BT"/>
        <family val="2"/>
        <scheme val="none"/>
      </font>
      <numFmt numFmtId="0" formatCode="Genera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color rgb="FF00B050"/>
        <name val="Futura Bk BT"/>
        <scheme val="none"/>
      </font>
      <numFmt numFmtId="13" formatCode="0%"/>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sz val="12"/>
        <name val="Futura Bk BT"/>
        <family val="2"/>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sz val="12"/>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scheme val="none"/>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top style="medium">
          <color indexed="64"/>
        </top>
        <bottom style="medium">
          <color indexed="64"/>
        </bottom>
      </border>
    </dxf>
    <dxf>
      <alignment horizontal="left"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medium">
          <color indexed="64"/>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2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style="medium">
          <color indexed="64"/>
        </right>
        <top style="thin">
          <color indexed="64"/>
        </top>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border diagonalUp="0" diagonalDown="0">
        <left style="thin">
          <color indexed="64"/>
        </left>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protection locked="0" hidden="0"/>
    </dxf>
    <dxf>
      <border outline="0">
        <left style="thin">
          <color indexed="64"/>
        </left>
        <right style="thin">
          <color indexed="64"/>
        </right>
      </border>
    </dxf>
    <dxf>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strike val="0"/>
        <outline val="0"/>
        <shadow val="0"/>
        <u val="none"/>
        <vertAlign val="baseline"/>
        <sz val="12"/>
        <color auto="1"/>
        <name val="Futura Bk BT"/>
        <family val="2"/>
        <scheme val="none"/>
      </font>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strike val="0"/>
        <outline val="0"/>
        <shadow val="0"/>
        <u val="none"/>
        <vertAlign val="baseline"/>
        <sz val="11"/>
        <color auto="1"/>
        <name val="Futura Bk BT"/>
        <family val="2"/>
        <scheme val="none"/>
      </font>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scheme val="none"/>
      </font>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rgb="FF00B050"/>
        <name val="Futura Bk BT"/>
        <family val="2"/>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rgb="FF00B050"/>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auto="1"/>
        <name val="Futura Bk BT"/>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scheme val="none"/>
      </font>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sz val="12"/>
        <name val="Futura Bk BT"/>
        <family val="2"/>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sz val="12"/>
        <name val="Futura Bk BT"/>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top style="medium">
          <color indexed="64"/>
        </top>
        <bottom style="medium">
          <color indexed="64"/>
        </bottom>
      </border>
    </dxf>
    <dxf>
      <alignment horizontal="left"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medium">
          <color indexed="64"/>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2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style="medium">
          <color indexed="64"/>
        </right>
        <top style="thin">
          <color indexed="64"/>
        </top>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border diagonalUp="0" diagonalDown="0">
        <left style="thin">
          <color indexed="64"/>
        </left>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protection locked="0" hidden="0"/>
    </dxf>
    <dxf>
      <border outline="0">
        <left style="thin">
          <color indexed="64"/>
        </left>
        <right style="thin">
          <color indexed="64"/>
        </right>
      </border>
    </dxf>
    <dxf>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top style="medium">
          <color indexed="64"/>
        </top>
        <bottom style="medium">
          <color indexed="64"/>
        </bottom>
      </border>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medium">
          <color indexed="64"/>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2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right style="thin">
          <color indexed="64"/>
        </right>
        <top style="medium">
          <color indexed="64"/>
        </top>
        <bottom style="medium">
          <color indexed="64"/>
        </bottom>
      </border>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top style="medium">
          <color indexed="64"/>
        </top>
        <bottom style="medium">
          <color indexed="64"/>
        </bottom>
      </border>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style="medium">
          <color indexed="64"/>
        </right>
        <top style="thin">
          <color indexed="64"/>
        </top>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protection locked="0" hidden="0"/>
    </dxf>
    <dxf>
      <border outline="0">
        <left style="thin">
          <color indexed="64"/>
        </left>
        <right style="thin">
          <color indexed="64"/>
        </right>
      </border>
    </dxf>
    <dxf>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2"/>
        <color theme="1"/>
        <name val="Futura Bk BT"/>
        <family val="2"/>
        <scheme val="none"/>
      </font>
      <fill>
        <patternFill patternType="darkUp">
          <fgColor theme="0" tint="-0.24994659260841701"/>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darkUp">
          <fgColor theme="0" tint="-0.2499465926084170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1"/>
        <color auto="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strike val="0"/>
        <outline val="0"/>
        <shadow val="0"/>
        <u val="none"/>
        <vertAlign val="baseline"/>
        <sz val="12"/>
        <color auto="1"/>
        <name val="Futura Bk BT"/>
        <family val="2"/>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1"/>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strike val="0"/>
        <outline val="0"/>
        <shadow val="0"/>
        <u val="none"/>
        <vertAlign val="baseline"/>
        <sz val="11"/>
        <color auto="1"/>
        <name val="Futura Bk BT"/>
        <family val="2"/>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rgb="FF00B050"/>
        <name val="Futura Bk BT"/>
        <family val="2"/>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rgb="FF00B050"/>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auto="1"/>
        <name val="Futura Bk BT"/>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scheme val="none"/>
      </font>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sz val="12"/>
        <name val="Futura Bk BT"/>
        <family val="2"/>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sz val="12"/>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1"/>
        <color theme="1"/>
        <name val="Calibri"/>
        <family val="2"/>
        <scheme val="minor"/>
      </font>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top style="medium">
          <color indexed="64"/>
        </top>
        <bottom style="medium">
          <color indexed="64"/>
        </bottom>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1"/>
        <color theme="1"/>
        <name val="Calibri"/>
        <family val="2"/>
        <scheme val="minor"/>
      </font>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medium">
          <color indexed="64"/>
        </right>
        <top style="medium">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medium">
          <color indexed="64"/>
        </top>
        <bottom style="thin">
          <color indexed="64"/>
        </bottom>
      </border>
    </dxf>
    <dxf>
      <font>
        <b/>
        <i val="0"/>
        <strike val="0"/>
        <condense val="0"/>
        <extend val="0"/>
        <outline val="0"/>
        <shadow val="0"/>
        <u val="none"/>
        <vertAlign val="baseline"/>
        <sz val="2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top style="medium">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style="medium">
          <color indexed="64"/>
        </right>
        <top style="thin">
          <color indexed="64"/>
        </top>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border diagonalUp="0" diagonalDown="0">
        <left style="thin">
          <color indexed="64"/>
        </left>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protection locked="0" hidden="0"/>
    </dxf>
    <dxf>
      <border outline="0">
        <left style="thin">
          <color indexed="64"/>
        </left>
        <right style="thin">
          <color indexed="64"/>
        </right>
      </border>
    </dxf>
    <dxf>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1"/>
        <color auto="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strike val="0"/>
        <outline val="0"/>
        <shadow val="0"/>
        <u val="none"/>
        <vertAlign val="baseline"/>
        <sz val="12"/>
        <color auto="1"/>
        <name val="Futura Bk BT"/>
        <family val="2"/>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1"/>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strike val="0"/>
        <outline val="0"/>
        <shadow val="0"/>
        <u val="none"/>
        <vertAlign val="baseline"/>
        <sz val="11"/>
        <color auto="1"/>
        <name val="Futura Bk BT"/>
        <family val="2"/>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family val="2"/>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rgb="FF00B050"/>
        <name val="Futura Bk BT"/>
        <family val="2"/>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rgb="FF00B050"/>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auto="1"/>
        <name val="Futura Bk BT"/>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scheme val="none"/>
      </font>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sz val="12"/>
        <name val="Futura Bk BT"/>
        <family val="2"/>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sz val="12"/>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1"/>
        <color theme="1"/>
        <name val="Calibri"/>
        <family val="2"/>
        <scheme val="minor"/>
      </font>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top style="medium">
          <color indexed="64"/>
        </top>
        <bottom style="medium">
          <color indexed="64"/>
        </bottom>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1"/>
        <color theme="1"/>
        <name val="Calibri"/>
        <family val="2"/>
        <scheme val="minor"/>
      </font>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medium">
          <color indexed="64"/>
        </right>
        <top style="medium">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medium">
          <color indexed="64"/>
        </top>
        <bottom style="thin">
          <color indexed="64"/>
        </bottom>
      </border>
    </dxf>
    <dxf>
      <font>
        <b/>
        <i val="0"/>
        <strike val="0"/>
        <condense val="0"/>
        <extend val="0"/>
        <outline val="0"/>
        <shadow val="0"/>
        <u val="none"/>
        <vertAlign val="baseline"/>
        <sz val="2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top style="medium">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style="medium">
          <color indexed="64"/>
        </right>
        <top style="thin">
          <color indexed="64"/>
        </top>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border diagonalUp="0" diagonalDown="0">
        <left style="thin">
          <color indexed="64"/>
        </left>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protection locked="0" hidden="0"/>
    </dxf>
    <dxf>
      <border outline="0">
        <left style="thin">
          <color indexed="64"/>
        </left>
        <right style="thin">
          <color indexed="64"/>
        </right>
      </border>
    </dxf>
    <dxf>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auto="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left style="thin">
          <color indexed="64"/>
        </left>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strike val="0"/>
        <outline val="0"/>
        <shadow val="0"/>
        <u val="none"/>
        <vertAlign val="baseline"/>
        <sz val="12"/>
        <color auto="1"/>
        <name val="Futura Bk BT"/>
        <family val="2"/>
        <scheme val="none"/>
      </font>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ill>
        <patternFill patternType="darkUp">
          <fgColor theme="0" tint="-0.14996795556505021"/>
          <bgColor indexed="65"/>
        </patternFill>
      </fill>
      <border>
        <right style="thin">
          <color indexed="64"/>
        </right>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left style="thin">
          <color indexed="64"/>
        </left>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strike val="0"/>
        <outline val="0"/>
        <shadow val="0"/>
        <u val="none"/>
        <vertAlign val="baseline"/>
        <sz val="11"/>
        <color auto="1"/>
        <name val="Futura Bk BT"/>
        <family val="2"/>
        <scheme val="none"/>
      </font>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ill>
        <patternFill patternType="darkUp">
          <fgColor theme="0" tint="-0.14996795556505021"/>
          <bgColor indexed="65"/>
        </patternFill>
      </fill>
      <border>
        <right style="thin">
          <color indexed="64"/>
        </right>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family val="2"/>
        <scheme val="none"/>
      </font>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ill>
        <patternFill patternType="darkUp">
          <fgColor theme="0" tint="-0.14996795556505021"/>
          <bgColor indexed="65"/>
        </patternFill>
      </fill>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left style="thin">
          <color indexed="64"/>
        </left>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scheme val="none"/>
      </font>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B050"/>
        <name val="Futura Bk BT"/>
        <scheme val="none"/>
      </font>
      <fill>
        <patternFill patternType="darkUp">
          <fgColor theme="0" tint="-0.14996795556505021"/>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ill>
        <patternFill patternType="darkUp">
          <fgColor theme="0" tint="-0.14996795556505021"/>
          <bgColor theme="0" tint="-4.9989318521683403E-2"/>
        </patternFill>
      </fill>
      <border>
        <right style="thin">
          <color indexed="64"/>
        </right>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theme="0" tint="-4.9989318521683403E-2"/>
        </patternFill>
      </fill>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left style="thin">
          <color indexed="64"/>
        </left>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scheme val="none"/>
      </font>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ill>
        <patternFill patternType="darkUp">
          <fgColor theme="0" tint="-0.14996795556505021"/>
          <bgColor indexed="65"/>
        </patternFill>
      </fill>
      <border>
        <right style="thin">
          <color indexed="64"/>
        </right>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left style="thin">
          <color indexed="64"/>
        </left>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scheme val="none"/>
      </font>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2"/>
        <color theme="1"/>
        <name val="Calibri"/>
        <family val="2"/>
        <scheme val="minor"/>
      </font>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top style="medium">
          <color indexed="64"/>
        </top>
        <bottom style="medium">
          <color indexed="64"/>
        </bottom>
      </border>
    </dxf>
    <dxf>
      <border>
        <right style="thin">
          <color indexed="64"/>
        </right>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2"/>
        <color theme="1"/>
        <name val="Calibri"/>
        <family val="2"/>
        <scheme val="minor"/>
      </font>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medium">
          <color indexed="64"/>
        </right>
        <top style="medium">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medium">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right style="thin">
          <color indexed="64"/>
        </right>
        <top style="medium">
          <color indexed="64"/>
        </top>
        <bottom style="medium">
          <color indexed="64"/>
        </bottom>
      </border>
    </dxf>
    <dxf>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top style="medium">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top style="medium">
          <color indexed="64"/>
        </top>
        <bottom style="medium">
          <color indexed="64"/>
        </bottom>
      </border>
    </dxf>
    <dxf>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style="medium">
          <color indexed="64"/>
        </right>
        <top style="thin">
          <color indexed="64"/>
        </top>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protection locked="0" hidden="0"/>
    </dxf>
    <dxf>
      <border outline="0">
        <left style="thin">
          <color indexed="64"/>
        </left>
        <right style="thin">
          <color indexed="64"/>
        </right>
      </border>
    </dxf>
    <dxf>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strike val="0"/>
        <outline val="0"/>
        <shadow val="0"/>
        <u val="none"/>
        <vertAlign val="baseline"/>
        <sz val="12"/>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auto="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strike val="0"/>
        <outline val="0"/>
        <shadow val="0"/>
        <u val="none"/>
        <vertAlign val="baseline"/>
        <sz val="11"/>
        <color auto="1"/>
        <name val="Futura Bk BT"/>
        <family val="2"/>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rgb="FF00B050"/>
        <name val="Futura Bk BT"/>
        <family val="2"/>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rgb="FF00B050"/>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auto="1"/>
        <name val="Futura Bk BT"/>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B050"/>
        <name val="Futura Bk BT"/>
        <scheme val="none"/>
      </font>
      <fill>
        <patternFill patternType="darkUp">
          <fgColor theme="0" tint="-0.14993743705557422"/>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3743705557422"/>
          <bgColor theme="0" tint="-4.9989318521683403E-2"/>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3743705557422"/>
          <bgColor theme="0" tint="-4.9989318521683403E-2"/>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top style="medium">
          <color indexed="64"/>
        </top>
        <bottom style="medium">
          <color indexed="64"/>
        </bottom>
      </border>
    </dxf>
    <dxf>
      <font>
        <strike val="0"/>
        <outline val="0"/>
        <shadow val="0"/>
        <u val="none"/>
        <vertAlign val="baseline"/>
        <sz val="12"/>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2"/>
        <color theme="1"/>
        <name val="Futura Bk BT"/>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top style="medium">
          <color indexed="64"/>
        </top>
        <bottom style="medium">
          <color indexed="64"/>
        </bottom>
      </border>
    </dxf>
    <dxf>
      <font>
        <strike val="0"/>
        <outline val="0"/>
        <shadow val="0"/>
        <u val="none"/>
        <vertAlign val="baseline"/>
        <sz val="12"/>
        <color theme="1"/>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2"/>
        <color theme="1"/>
        <name val="Futura Bk BT"/>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top style="medium">
          <color indexed="64"/>
        </top>
        <bottom style="medium">
          <color indexed="64"/>
        </bottom>
      </border>
    </dxf>
    <dxf>
      <font>
        <strike val="0"/>
        <outline val="0"/>
        <shadow val="0"/>
        <u val="none"/>
        <vertAlign val="baseline"/>
        <sz val="12"/>
        <color theme="1"/>
        <name val="Futura Bk BT"/>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2"/>
        <color rgb="FFC00000"/>
        <name val="Futura Bk BT"/>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top style="medium">
          <color indexed="64"/>
        </top>
        <bottom style="medium">
          <color indexed="64"/>
        </bottom>
      </border>
    </dxf>
    <dxf>
      <font>
        <b val="0"/>
        <strike val="0"/>
        <outline val="0"/>
        <shadow val="0"/>
        <u val="none"/>
        <vertAlign val="baseline"/>
        <sz val="12"/>
        <color auto="1"/>
        <name val="Futura Bk BT"/>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2"/>
        <color theme="1"/>
        <name val="Calibri"/>
        <family val="2"/>
        <scheme val="minor"/>
      </font>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2"/>
        <color theme="1"/>
        <name val="Calibri"/>
        <family val="2"/>
        <scheme val="minor"/>
      </font>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medium">
          <color indexed="64"/>
        </right>
        <top style="medium">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medium">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top style="medium">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style="medium">
          <color indexed="64"/>
        </right>
        <top style="thin">
          <color indexed="64"/>
        </top>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border diagonalUp="0" diagonalDown="0">
        <left style="thin">
          <color indexed="64"/>
        </left>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protection locked="0" hidden="0"/>
    </dxf>
    <dxf>
      <border outline="0">
        <left style="thin">
          <color indexed="64"/>
        </left>
        <right style="thin">
          <color indexed="64"/>
        </right>
      </border>
    </dxf>
    <dxf>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auto="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strike val="0"/>
        <outline val="0"/>
        <shadow val="0"/>
        <u val="none"/>
        <vertAlign val="baseline"/>
        <sz val="12"/>
        <color auto="1"/>
        <name val="Futura Bk BT"/>
        <family val="2"/>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strike val="0"/>
        <outline val="0"/>
        <shadow val="0"/>
        <u val="none"/>
        <vertAlign val="baseline"/>
        <sz val="11"/>
        <color auto="1"/>
        <name val="Futura Bk BT"/>
        <family val="2"/>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rgb="FF00B050"/>
        <name val="Futura Bk BT"/>
        <family val="2"/>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rgb="FF00B050"/>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auto="1"/>
        <name val="Futura Bk BT"/>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scheme val="none"/>
      </font>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sz val="12"/>
        <name val="Futura Bk BT"/>
        <family val="2"/>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sz val="12"/>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2"/>
        <color theme="1"/>
        <name val="Calibri"/>
        <family val="2"/>
        <scheme val="minor"/>
      </font>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2"/>
        <color theme="1"/>
        <name val="Calibri"/>
        <family val="2"/>
        <scheme val="minor"/>
      </font>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medium">
          <color indexed="64"/>
        </right>
        <top style="medium">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medium">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top style="medium">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style="medium">
          <color indexed="64"/>
        </right>
        <top style="thin">
          <color indexed="64"/>
        </top>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border diagonalUp="0" diagonalDown="0">
        <left style="thin">
          <color indexed="64"/>
        </left>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protection locked="0" hidden="0"/>
    </dxf>
    <dxf>
      <border outline="0">
        <left style="thin">
          <color indexed="64"/>
        </left>
        <right style="thin">
          <color indexed="64"/>
        </right>
      </border>
    </dxf>
    <dxf>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strike val="0"/>
        <outline val="0"/>
        <shadow val="0"/>
        <u val="none"/>
        <vertAlign val="baseline"/>
        <sz val="12"/>
        <color auto="1"/>
        <name val="Futura Bk BT"/>
        <family val="2"/>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strike val="0"/>
        <outline val="0"/>
        <shadow val="0"/>
        <u val="none"/>
        <vertAlign val="baseline"/>
        <sz val="11"/>
        <color auto="1"/>
        <name val="Futura Bk BT"/>
        <family val="2"/>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family val="2"/>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rgb="FF00B050"/>
        <name val="Futura Bk BT"/>
        <family val="2"/>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rgb="FF00B050"/>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auto="1"/>
        <name val="Futura Bk BT"/>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scheme val="none"/>
      </font>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sz val="12"/>
        <name val="Futura Bk BT"/>
        <family val="2"/>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sz val="12"/>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minor"/>
      </font>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minor"/>
      </font>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medium">
          <color indexed="64"/>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style="medium">
          <color indexed="64"/>
        </right>
        <top style="thin">
          <color indexed="64"/>
        </top>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protection locked="0" hidden="0"/>
    </dxf>
    <dxf>
      <border outline="0">
        <left style="thin">
          <color indexed="64"/>
        </left>
        <right style="thin">
          <color indexed="64"/>
        </right>
      </border>
    </dxf>
    <dxf>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strike val="0"/>
        <outline val="0"/>
        <shadow val="0"/>
        <u val="none"/>
        <vertAlign val="baseline"/>
        <sz val="12"/>
        <color auto="1"/>
        <name val="Futura Bk BT"/>
        <family val="2"/>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strike val="0"/>
        <outline val="0"/>
        <shadow val="0"/>
        <u val="none"/>
        <vertAlign val="baseline"/>
        <sz val="11"/>
        <color auto="1"/>
        <name val="Futura Bk BT"/>
        <family val="2"/>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rgb="FF00B050"/>
        <name val="Futura Bk BT"/>
        <family val="2"/>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rgb="FF00B050"/>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auto="1"/>
        <name val="Futura Bk BT"/>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family val="2"/>
        <scheme val="none"/>
      </font>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sz val="12"/>
        <name val="Futura Bk BT"/>
        <family val="2"/>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sz val="12"/>
        <name val="Futura Bk BT"/>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minor"/>
      </font>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top style="medium">
          <color indexed="64"/>
        </top>
        <bottom style="medium">
          <color indexed="64"/>
        </bottom>
      </border>
    </dxf>
    <dxf>
      <border diagonalUp="0" diagonalDown="0">
        <left style="thin">
          <color indexed="64"/>
        </left>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minor"/>
      </font>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medium">
          <color indexed="64"/>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style="medium">
          <color indexed="64"/>
        </right>
        <top style="thin">
          <color indexed="64"/>
        </top>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protection locked="0" hidden="0"/>
    </dxf>
    <dxf>
      <border outline="0">
        <left style="thin">
          <color indexed="64"/>
        </left>
        <right style="thin">
          <color indexed="64"/>
        </right>
      </border>
    </dxf>
    <dxf>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0" hidden="0"/>
    </dxf>
    <dxf>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0" hidden="0"/>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0" hidden="0"/>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protection locked="0" hidden="0"/>
    </dxf>
    <dxf>
      <font>
        <strike val="0"/>
        <outline val="0"/>
        <shadow val="0"/>
        <u val="none"/>
        <vertAlign val="baseline"/>
        <sz val="12"/>
        <color auto="1"/>
        <name val="Futura Bk BT"/>
        <family val="2"/>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protection locked="0" hidden="0"/>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0" hidden="0"/>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protection locked="0" hidden="0"/>
    </dxf>
    <dxf>
      <font>
        <strike val="0"/>
        <outline val="0"/>
        <shadow val="0"/>
        <u val="none"/>
        <vertAlign val="baseline"/>
        <sz val="11"/>
        <color auto="1"/>
        <name val="Futura Bk BT"/>
        <family val="2"/>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protection locked="0" hidden="0"/>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0" hidden="0"/>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protection locked="0" hidden="0"/>
    </dxf>
    <dxf>
      <font>
        <b val="0"/>
        <strike val="0"/>
        <outline val="0"/>
        <shadow val="0"/>
        <u val="none"/>
        <vertAlign val="baseline"/>
        <sz val="12"/>
        <color auto="1"/>
        <name val="Futura Bk BT"/>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protection locked="0" hidden="0"/>
    </dxf>
    <dxf>
      <font>
        <b/>
        <i val="0"/>
        <strike val="0"/>
        <condense val="0"/>
        <extend val="0"/>
        <outline val="0"/>
        <shadow val="0"/>
        <u val="none"/>
        <vertAlign val="baseline"/>
        <sz val="11"/>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0" hidden="0"/>
    </dxf>
    <dxf>
      <font>
        <b/>
        <i val="0"/>
        <strike val="0"/>
        <condense val="0"/>
        <extend val="0"/>
        <outline val="0"/>
        <shadow val="0"/>
        <u val="none"/>
        <vertAlign val="baseline"/>
        <sz val="12"/>
        <color rgb="FF00B050"/>
        <name val="Futura Bk BT"/>
        <family val="2"/>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0" hidden="0"/>
    </dxf>
    <dxf>
      <font>
        <b/>
        <i val="0"/>
        <strike val="0"/>
        <condense val="0"/>
        <extend val="0"/>
        <outline val="0"/>
        <shadow val="0"/>
        <u val="none"/>
        <vertAlign val="baseline"/>
        <sz val="12"/>
        <color rgb="FF00B050"/>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protection locked="0" hidden="0"/>
    </dxf>
    <dxf>
      <font>
        <b val="0"/>
        <i val="0"/>
        <strike val="0"/>
        <condense val="0"/>
        <extend val="0"/>
        <outline val="0"/>
        <shadow val="0"/>
        <u val="none"/>
        <vertAlign val="baseline"/>
        <sz val="12"/>
        <color auto="1"/>
        <name val="Futura Bk BT"/>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protection locked="0" hidden="0"/>
    </dxf>
    <dxf>
      <font>
        <b/>
        <i val="0"/>
        <strike val="0"/>
        <condense val="0"/>
        <extend val="0"/>
        <outline val="0"/>
        <shadow val="0"/>
        <u val="none"/>
        <vertAlign val="baseline"/>
        <sz val="11"/>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protection locked="0" hidden="0"/>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0" hidden="0"/>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protection locked="0" hidden="0"/>
    </dxf>
    <dxf>
      <font>
        <b val="0"/>
        <strike val="0"/>
        <outline val="0"/>
        <shadow val="0"/>
        <u val="none"/>
        <vertAlign val="baseline"/>
        <sz val="12"/>
        <color auto="1"/>
        <name val="Futura Bk BT"/>
        <scheme val="none"/>
      </font>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protection locked="0" hidden="0"/>
    </dxf>
    <dxf>
      <font>
        <b/>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0" hidden="0"/>
    </dxf>
    <dxf>
      <font>
        <sz val="12"/>
        <name val="Futura Bk BT"/>
        <family val="2"/>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0" hidden="0"/>
    </dxf>
    <dxf>
      <font>
        <sz val="12"/>
        <name val="Futura Bk BT"/>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protection locked="0" hidden="0"/>
    </dxf>
    <dxf>
      <font>
        <b val="0"/>
        <strike val="0"/>
        <outline val="0"/>
        <shadow val="0"/>
        <u val="none"/>
        <vertAlign val="baseline"/>
        <sz val="12"/>
        <color auto="1"/>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minor"/>
      </font>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top style="medium">
          <color indexed="64"/>
        </top>
        <bottom style="medium">
          <color indexed="64"/>
        </bottom>
      </border>
      <protection locked="0" hidden="0"/>
    </dxf>
    <dxf>
      <border diagonalUp="0" diagonalDown="0">
        <left style="thin">
          <color indexed="64"/>
        </left>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minor"/>
      </font>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medium">
          <color indexed="64"/>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right style="thin">
          <color indexed="64"/>
        </right>
        <top style="medium">
          <color indexed="64"/>
        </top>
        <bottom style="medium">
          <color indexed="64"/>
        </bottom>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top style="medium">
          <color indexed="64"/>
        </top>
        <bottom style="medium">
          <color indexed="64"/>
        </bottom>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style="medium">
          <color indexed="64"/>
        </right>
        <top style="thin">
          <color indexed="64"/>
        </top>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protection locked="0" hidden="0"/>
    </dxf>
    <dxf>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protection locked="0" hidden="0"/>
    </dxf>
    <dxf>
      <border outline="0">
        <left style="thin">
          <color indexed="64"/>
        </left>
        <right style="thin">
          <color indexed="64"/>
        </right>
      </border>
    </dxf>
    <dxf>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4"/>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4"/>
        <color rgb="FFFF0000"/>
        <name val="Futura Bk BT"/>
        <family val="2"/>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4"/>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4"/>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4"/>
        <color auto="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4"/>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strike val="0"/>
        <outline val="0"/>
        <shadow val="0"/>
        <u val="none"/>
        <vertAlign val="baseline"/>
        <sz val="12"/>
        <color auto="1"/>
        <name val="Futura Bk BT"/>
        <family val="2"/>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strike val="0"/>
        <outline val="0"/>
        <shadow val="0"/>
        <u val="none"/>
        <vertAlign val="baseline"/>
        <sz val="11"/>
        <color auto="1"/>
        <name val="Futura Bk BT"/>
        <family val="2"/>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rgb="FF00B050"/>
        <name val="Futura Bk BT"/>
        <family val="2"/>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rgb="FF00B050"/>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auto="1"/>
        <name val="Futura Bk BT"/>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scheme val="none"/>
      </font>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auto="1"/>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minor"/>
      </font>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top style="medium">
          <color indexed="64"/>
        </top>
        <bottom style="medium">
          <color indexed="64"/>
        </bottom>
      </border>
    </dxf>
    <dxf>
      <border diagonalUp="0" diagonalDown="0">
        <left style="thin">
          <color indexed="64"/>
        </left>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minor"/>
      </font>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medium">
          <color indexed="64"/>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style="medium">
          <color indexed="64"/>
        </right>
        <top style="thin">
          <color indexed="64"/>
        </top>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protection locked="0" hidden="0"/>
    </dxf>
    <dxf>
      <border outline="0">
        <left style="thin">
          <color indexed="64"/>
        </left>
        <right style="thin">
          <color indexed="64"/>
        </right>
      </border>
    </dxf>
    <dxf>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2"/>
        <color theme="1"/>
        <name val="Futura Bk BT"/>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bottom style="medium">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FF000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right style="thin">
          <color indexed="64"/>
        </right>
        <top style="medium">
          <color indexed="64"/>
        </top>
        <bottom style="medium">
          <color indexed="64"/>
        </bottom>
      </border>
      <protection locked="1" hidden="0"/>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theme="1"/>
        <name val="Futura Bk BT"/>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protection locked="1" hidden="0"/>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strike val="0"/>
        <outline val="0"/>
        <shadow val="0"/>
        <u val="none"/>
        <vertAlign val="baseline"/>
        <sz val="12"/>
        <color auto="1"/>
        <name val="Futura Bk BT"/>
        <family val="2"/>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protection locked="1" hidden="0"/>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strike val="0"/>
        <outline val="0"/>
        <shadow val="0"/>
        <u val="none"/>
        <vertAlign val="baseline"/>
        <sz val="11"/>
        <color auto="1"/>
        <name val="Futura Bk BT"/>
        <family val="2"/>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protection locked="1" hidden="0"/>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scheme val="none"/>
      </font>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protection locked="1" hidden="0"/>
    </dxf>
    <dxf>
      <font>
        <b/>
        <i val="0"/>
        <strike val="0"/>
        <condense val="0"/>
        <extend val="0"/>
        <outline val="0"/>
        <shadow val="0"/>
        <u val="none"/>
        <vertAlign val="baseline"/>
        <sz val="11"/>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i val="0"/>
        <strike val="0"/>
        <condense val="0"/>
        <extend val="0"/>
        <outline val="0"/>
        <shadow val="0"/>
        <u val="none"/>
        <vertAlign val="baseline"/>
        <sz val="12"/>
        <color rgb="FF00B050"/>
        <name val="Futura Bk BT"/>
        <family val="2"/>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rgb="FF00B050"/>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auto="1"/>
        <name val="Futura Bk BT"/>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protection locked="1" hidden="0"/>
    </dxf>
    <dxf>
      <font>
        <b/>
        <i val="0"/>
        <strike val="0"/>
        <condense val="0"/>
        <extend val="0"/>
        <outline val="0"/>
        <shadow val="0"/>
        <u val="none"/>
        <vertAlign val="baseline"/>
        <sz val="11"/>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1"/>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protection locked="1" hidden="0"/>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scheme val="none"/>
      </font>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protection locked="1" hidden="0"/>
    </dxf>
    <dxf>
      <font>
        <b/>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sz val="12"/>
        <name val="Futura Bk BT"/>
        <family val="2"/>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auto="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sz val="12"/>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rgb="FFFF0000"/>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scheme val="none"/>
      </font>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minor"/>
      </font>
      <fill>
        <patternFill patternType="darkUp">
          <fgColor theme="0" tint="-0.14996795556505021"/>
          <bgColor rgb="FFFFFF00"/>
        </patternFill>
      </fill>
      <alignment horizontal="general" vertical="bottom" textRotation="0" wrapText="1" indent="0" justifyLastLine="0" shrinkToFit="0" readingOrder="0"/>
      <border diagonalUp="0" diagonalDown="0" outline="0">
        <left style="thin">
          <color indexed="64"/>
        </left>
        <right/>
        <top style="medium">
          <color indexed="64"/>
        </top>
        <bottom style="medium">
          <color indexed="64"/>
        </bottom>
      </border>
    </dxf>
    <dxf>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medium">
          <color indexed="64"/>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style="medium">
          <color indexed="64"/>
        </right>
        <top style="thin">
          <color indexed="64"/>
        </top>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sz val="12"/>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protection locked="0" hidden="0"/>
    </dxf>
    <dxf>
      <border outline="0">
        <left style="thin">
          <color indexed="64"/>
        </left>
        <right style="thin">
          <color indexed="64"/>
        </right>
      </border>
    </dxf>
    <dxf>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4"/>
        <color theme="1"/>
        <name val="Futura Bk BT"/>
        <scheme val="none"/>
      </font>
      <fill>
        <patternFill patternType="darkUp">
          <fgColor theme="0" tint="-0.14996795556505021"/>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4"/>
        <color rgb="FFFF000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4"/>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4"/>
        <color theme="1"/>
        <name val="Futura Bk BT"/>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4"/>
        <color auto="1"/>
        <name val="Futura Bk BT"/>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4"/>
        <color rgb="FFFF0000"/>
        <name val="Futura Bk BT"/>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strike val="0"/>
        <outline val="0"/>
        <shadow val="0"/>
        <u val="none"/>
        <vertAlign val="baseline"/>
        <sz val="12"/>
        <color auto="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4"/>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4"/>
        <color theme="1"/>
        <name val="Futura Bk BT"/>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4"/>
        <color theme="1"/>
        <name val="Futura Bk BT"/>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4"/>
        <color rgb="FFFF0000"/>
        <name val="Futura Bk BT"/>
        <scheme val="none"/>
      </font>
      <numFmt numFmtId="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strike val="0"/>
        <outline val="0"/>
        <shadow val="0"/>
        <u val="none"/>
        <vertAlign val="baseline"/>
        <sz val="11"/>
        <color auto="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4"/>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strike val="0"/>
        <outline val="0"/>
        <shadow val="0"/>
        <u val="none"/>
        <vertAlign val="baseline"/>
        <color rgb="FF00B050"/>
        <name val="Futura Bk BT"/>
        <scheme val="none"/>
      </font>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4"/>
        <color theme="1"/>
        <name val="Futura Bk BT"/>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4"/>
        <color theme="1"/>
        <name val="Futura Bk BT"/>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4"/>
        <color rgb="FFFF0000"/>
        <name val="Futura Bk BT"/>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4"/>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B050"/>
        <name val="Futura Bk BT"/>
        <scheme val="none"/>
      </font>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4"/>
        <color theme="1"/>
        <name val="Futura Bk BT"/>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auto="1"/>
        <name val="Futura Bk BT"/>
        <family val="2"/>
        <scheme val="none"/>
      </font>
      <numFmt numFmtId="0" formatCode="General"/>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4"/>
        <color theme="1"/>
        <name val="Futura Bk BT"/>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auto="1"/>
        <name val="Futura Bk BT"/>
        <family val="2"/>
        <scheme val="none"/>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4"/>
        <color rgb="FFFF0000"/>
        <name val="Futura Bk BT"/>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auto="1"/>
        <name val="Futura Bk BT"/>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4"/>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B050"/>
        <name val="Futura Bk BT"/>
        <scheme val="none"/>
      </font>
      <numFmt numFmtId="13" formatCode="0%"/>
      <fill>
        <patternFill patternType="darkUp">
          <fgColor theme="0" tint="-0.14996795556505021"/>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4"/>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ill>
        <patternFill patternType="darkUp">
          <fgColor theme="0" tint="-0.14996795556505021"/>
          <bgColor indexed="65"/>
        </patternFill>
      </fill>
      <border>
        <right style="thin">
          <color indexed="64"/>
        </right>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4"/>
        <color auto="1"/>
        <name val="Futura Bk BT"/>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ill>
        <patternFill patternType="darkUp">
          <fgColor theme="0" tint="-0.14996795556505021"/>
          <bgColor indexed="65"/>
        </patternFill>
      </fill>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4"/>
        <color auto="1"/>
        <name val="Futura Bk BT"/>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4"/>
        <color rgb="FFFF0000"/>
        <name val="Futura Bk BT"/>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strike val="0"/>
        <outline val="0"/>
        <shadow val="0"/>
        <u val="none"/>
        <vertAlign val="baseline"/>
        <sz val="12"/>
        <color auto="1"/>
        <name val="Futura Bk BT"/>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4"/>
        <color rgb="FF00B050"/>
        <name val="Futura Bk BT"/>
        <scheme val="none"/>
      </font>
      <numFmt numFmtId="13" formatCode="0%"/>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top style="medium">
          <color indexed="64"/>
        </top>
        <bottom style="medium">
          <color indexed="64"/>
        </bottom>
      </border>
    </dxf>
    <dxf>
      <font>
        <b/>
        <strike val="0"/>
        <outline val="0"/>
        <shadow val="0"/>
        <u val="none"/>
        <vertAlign val="baseline"/>
        <sz val="12"/>
        <color rgb="FF00B050"/>
        <name val="Futura Bk BT"/>
        <scheme val="none"/>
      </font>
      <fill>
        <patternFill patternType="darkUp">
          <fgColor theme="0" tint="-0.14990691854609822"/>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4"/>
        <color theme="1"/>
        <name val="Futura Bk BT"/>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top style="medium">
          <color indexed="64"/>
        </top>
        <bottom style="medium">
          <color indexed="64"/>
        </bottom>
      </border>
    </dxf>
    <dxf>
      <font>
        <b val="0"/>
        <strike val="0"/>
        <outline val="0"/>
        <shadow val="0"/>
        <u val="none"/>
        <vertAlign val="baseline"/>
        <sz val="12"/>
        <color theme="1"/>
        <name val="Futura Bk BT"/>
        <scheme val="none"/>
      </font>
      <fill>
        <patternFill patternType="darkUp">
          <fgColor theme="0" tint="-0.14990691854609822"/>
          <bgColor indexed="65"/>
        </patternFill>
      </fill>
      <alignment horizontal="center" vertical="center" textRotation="0" wrapText="1" indent="0" justifyLastLine="0" shrinkToFit="0" readingOrder="0"/>
      <border diagonalUp="0" diagonalDown="0">
        <left/>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4"/>
        <color theme="1"/>
        <name val="Futura Bk BT"/>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top style="medium">
          <color indexed="64"/>
        </top>
        <bottom style="medium">
          <color indexed="64"/>
        </bottom>
      </border>
    </dxf>
    <dxf>
      <font>
        <strike val="0"/>
        <outline val="0"/>
        <shadow val="0"/>
        <u val="none"/>
        <vertAlign val="baseline"/>
        <sz val="12"/>
        <color theme="1"/>
        <name val="Futura Bk BT"/>
        <scheme val="none"/>
      </font>
      <alignment horizontal="center" vertical="center" textRotation="0" wrapText="1" indent="0" justifyLastLine="0" shrinkToFit="0" readingOrder="0"/>
      <border diagonalUp="0" diagonalDown="0">
        <left/>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i val="0"/>
        <strike val="0"/>
        <condense val="0"/>
        <extend val="0"/>
        <outline val="0"/>
        <shadow val="0"/>
        <u val="none"/>
        <vertAlign val="baseline"/>
        <sz val="14"/>
        <color rgb="FFFF0000"/>
        <name val="Futura Bk BT"/>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thin">
          <color indexed="64"/>
        </left>
        <right/>
        <top style="medium">
          <color indexed="64"/>
        </top>
        <bottom style="medium">
          <color indexed="64"/>
        </bottom>
      </border>
    </dxf>
    <dxf>
      <font>
        <b val="0"/>
        <strike val="0"/>
        <outline val="0"/>
        <shadow val="0"/>
        <u val="none"/>
        <vertAlign val="baseline"/>
        <sz val="12"/>
        <color auto="1"/>
        <name val="Futura Bk BT"/>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ill>
        <patternFill patternType="darkUp">
          <fgColor theme="0" tint="-0.14996795556505021"/>
          <bgColor rgb="FFFFFF00"/>
        </patternFill>
      </fill>
      <alignment horizontal="left" vertical="top" textRotation="0" wrapText="1" indent="0" justifyLastLine="0" shrinkToFit="0" readingOrder="0"/>
      <border diagonalUp="0" diagonalDown="0" outline="0">
        <left style="thin">
          <color indexed="64"/>
        </left>
        <right/>
        <top style="medium">
          <color indexed="64"/>
        </top>
        <bottom style="medium">
          <color indexed="64"/>
        </bottom>
      </border>
    </dxf>
    <dxf>
      <alignment horizontal="left"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ill>
        <patternFill patternType="darkUp">
          <fgColor theme="0" tint="-0.14996795556505021"/>
          <bgColor rgb="FFFFFF00"/>
        </patternFill>
      </fill>
      <alignment horizontal="left" vertical="top"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top"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medium">
          <color indexed="64"/>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top"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22"/>
        <color theme="1"/>
        <name val="Futura Bk BT"/>
        <family val="2"/>
        <scheme val="none"/>
      </font>
      <fill>
        <patternFill patternType="darkUp">
          <fgColor theme="0" tint="-0.14996795556505021"/>
          <bgColor rgb="FFFFFF00"/>
        </patternFill>
      </fill>
      <alignment horizontal="left" vertical="top" textRotation="0" wrapText="1" indent="0" justifyLastLine="0" shrinkToFit="0" readingOrder="0"/>
      <border diagonalUp="0" diagonalDown="0" outline="0">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top" textRotation="0" wrapText="1" indent="0" justifyLastLine="0" shrinkToFit="0" readingOrder="0"/>
      <border diagonalUp="0" diagonalDown="0" outline="0">
        <left style="thin">
          <color indexed="64"/>
        </left>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style="medium">
          <color indexed="64"/>
        </right>
        <top style="thin">
          <color indexed="64"/>
        </top>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top"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alignment textRotation="0" wrapText="1" indent="0" justifyLastLine="0" shrinkToFit="0" readingOrder="0"/>
      <border diagonalUp="0" diagonalDown="0">
        <left style="thin">
          <color indexed="64"/>
        </left>
        <right style="thin">
          <color indexed="64"/>
        </right>
        <top/>
        <bottom/>
      </border>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protection locked="0" hidden="0"/>
    </dxf>
    <dxf>
      <border outline="0">
        <left style="thin">
          <color indexed="64"/>
        </left>
        <right style="thin">
          <color indexed="64"/>
        </right>
      </border>
    </dxf>
    <dxf>
      <protection locked="0"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center" textRotation="0" wrapText="1" indent="0" justifyLastLine="0" shrinkToFit="0" readingOrder="0"/>
      <border diagonalUp="0" diagonalDown="0" outline="0">
        <left style="thin">
          <color indexed="64"/>
        </left>
        <right style="medium">
          <color indexed="64"/>
        </right>
        <top/>
        <bottom style="medium">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border diagonalUp="0" diagonalDown="0">
        <left/>
        <right style="thin">
          <color indexed="64"/>
        </right>
        <top style="thin">
          <color indexed="64"/>
        </top>
        <bottom style="thin">
          <color indexed="64"/>
        </bottom>
      </border>
      <protection locked="1"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font>
        <b/>
        <strike val="0"/>
        <outline val="0"/>
        <shadow val="0"/>
        <u val="none"/>
        <vertAlign val="baseline"/>
        <color rgb="FF00B050"/>
        <name val="Futura Bk BT"/>
        <scheme val="none"/>
      </font>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Futura Bk BT"/>
        <family val="2"/>
        <scheme val="none"/>
      </font>
      <numFmt numFmtId="3" formatCode="#,##0"/>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numFmt numFmtId="3" formatCode="#,##0"/>
      <fill>
        <patternFill patternType="solid">
          <fgColor indexed="64"/>
          <bgColor rgb="FFFFFF00"/>
        </patternFill>
      </fill>
      <alignment horizontal="center" vertical="center" textRotation="0" wrapText="1" indent="0" justifyLastLine="0" shrinkToFit="0" readingOrder="0"/>
      <border diagonalUp="0" diagonalDown="0" outline="0">
        <left style="medium">
          <color indexed="64"/>
        </left>
        <right style="thin">
          <color indexed="64"/>
        </right>
        <top/>
        <bottom style="medium">
          <color indexed="64"/>
        </bottom>
      </border>
    </dxf>
    <dxf>
      <border diagonalUp="0" diagonalDown="0">
        <left/>
        <right style="thin">
          <color indexed="64"/>
        </right>
        <top style="thin">
          <color indexed="64"/>
        </top>
        <bottom style="thin">
          <color indexed="64"/>
        </bottom>
      </border>
      <protection locked="1"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rgb="FF00B050"/>
        <name val="Futura Bk BT"/>
        <scheme val="none"/>
      </font>
      <numFmt numFmtId="13" formatCode="0%"/>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medium">
          <color indexed="64"/>
        </right>
        <top/>
        <bottom style="medium">
          <color indexed="64"/>
        </bottom>
      </border>
    </dxf>
    <dxf>
      <font>
        <b/>
        <strike val="0"/>
        <outline val="0"/>
        <shadow val="0"/>
        <u val="none"/>
        <vertAlign val="baseline"/>
        <color rgb="FF00B050"/>
        <name val="Futura Bk BT"/>
        <scheme val="none"/>
      </font>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numFmt numFmtId="3" formatCode="#,##0"/>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rgb="FFFF0000"/>
        <name val="Futura Bk BT"/>
        <family val="2"/>
        <scheme val="none"/>
      </font>
      <numFmt numFmtId="3" formatCode="#,##0"/>
      <fill>
        <patternFill patternType="solid">
          <fgColor indexed="64"/>
          <bgColor rgb="FFFFFF00"/>
        </patternFill>
      </fill>
      <alignment horizontal="center" vertical="center" textRotation="0" wrapText="1" indent="0" justifyLastLine="0" shrinkToFit="0" readingOrder="0"/>
      <border diagonalUp="0" diagonalDown="0" outline="0">
        <left style="medium">
          <color indexed="64"/>
        </left>
        <right style="thin">
          <color indexed="64"/>
        </right>
        <top/>
        <bottom style="medium">
          <color indexed="64"/>
        </bottom>
      </border>
    </dxf>
    <dxf>
      <border diagonalUp="0" diagonalDown="0">
        <left/>
        <right style="thin">
          <color indexed="64"/>
        </right>
        <top style="thin">
          <color indexed="64"/>
        </top>
        <bottom style="thin">
          <color indexed="64"/>
        </bottom>
      </border>
      <protection locked="1" hidden="0"/>
    </dxf>
    <dxf>
      <font>
        <b/>
        <i val="0"/>
        <strike val="0"/>
        <condense val="0"/>
        <extend val="0"/>
        <outline val="0"/>
        <shadow val="0"/>
        <u val="none"/>
        <vertAlign val="baseline"/>
        <sz val="14"/>
        <color rgb="FF00B050"/>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medium">
          <color indexed="64"/>
        </right>
        <top/>
        <bottom style="medium">
          <color indexed="64"/>
        </bottom>
      </border>
    </dxf>
    <dxf>
      <font>
        <b/>
        <strike val="0"/>
        <outline val="0"/>
        <shadow val="0"/>
        <u val="none"/>
        <vertAlign val="baseline"/>
        <color rgb="FF00B050"/>
        <name val="Futura Bk BT"/>
        <scheme val="none"/>
      </font>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medium">
          <color indexed="64"/>
        </left>
        <right style="thin">
          <color indexed="64"/>
        </right>
        <top/>
        <bottom style="medium">
          <color indexed="64"/>
        </bottom>
      </border>
    </dxf>
    <dxf>
      <border diagonalUp="0" diagonalDown="0">
        <left/>
        <right style="thin">
          <color indexed="64"/>
        </right>
        <top style="thin">
          <color indexed="64"/>
        </top>
        <bottom style="thin">
          <color indexed="64"/>
        </bottom>
      </border>
      <protection locked="1"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rgb="FF00B050"/>
        <name val="Futura Bk BT"/>
        <scheme val="none"/>
      </font>
      <numFmt numFmtId="13" formatCode="0%"/>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medium">
          <color indexed="64"/>
        </right>
        <top/>
        <bottom style="medium">
          <color indexed="64"/>
        </bottom>
      </border>
    </dxf>
    <dxf>
      <font>
        <b/>
        <strike val="0"/>
        <outline val="0"/>
        <shadow val="0"/>
        <u val="none"/>
        <vertAlign val="baseline"/>
        <color rgb="FF00B050"/>
        <name val="Futura Bk BT"/>
        <scheme val="none"/>
      </font>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Futura Bk BT"/>
        <family val="2"/>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font>
        <sz val="12"/>
        <name val="Futura Bk BT"/>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Futura Bk BT"/>
        <family val="2"/>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style="medium">
          <color indexed="64"/>
        </bottom>
      </border>
    </dxf>
    <dxf>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medium">
          <color indexed="64"/>
        </left>
        <right style="thin">
          <color indexed="64"/>
        </right>
        <top/>
        <bottom style="medium">
          <color indexed="64"/>
        </bottom>
      </border>
    </dxf>
    <dxf>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ill>
        <patternFill patternType="solid">
          <fgColor indexed="64"/>
          <bgColor rgb="FFFFFF00"/>
        </patternFill>
      </fill>
      <alignment horizontal="general" vertical="bottom" textRotation="0" wrapText="1" indent="0" justifyLastLine="0" shrinkToFit="0" readingOrder="0"/>
      <border diagonalUp="0" diagonalDown="0" outline="0">
        <left style="thin">
          <color indexed="64"/>
        </left>
        <right/>
        <top/>
        <bottom style="medium">
          <color indexed="64"/>
        </bottom>
      </border>
    </dxf>
    <dxf>
      <font>
        <b/>
        <sz val="12"/>
        <color rgb="FFFF0000"/>
        <name val="Futura Bk BT"/>
        <scheme val="none"/>
      </font>
      <alignment horizontal="left" vertical="top" textRotation="0" wrapText="1" indent="0" justifyLastLine="0" shrinkToFit="0" readingOrder="0"/>
      <border diagonalUp="0" diagonalDown="0">
        <left style="thin">
          <color indexed="64"/>
        </left>
        <right style="thin">
          <color indexed="64"/>
        </right>
        <top/>
        <bottom/>
      </border>
      <protection locked="1"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ill>
        <patternFill patternType="solid">
          <fgColor indexed="64"/>
          <bgColor rgb="FFFFFF00"/>
        </patternFill>
      </fill>
      <alignment horizontal="general" vertical="bottom" textRotation="0" wrapText="1" indent="0" justifyLastLine="0" shrinkToFit="0" readingOrder="0"/>
      <border diagonalUp="0" diagonalDown="0" outline="0">
        <left style="thin">
          <color indexed="64"/>
        </left>
        <right style="thin">
          <color indexed="64"/>
        </right>
        <top/>
        <bottom style="medium">
          <color indexed="64"/>
        </bottom>
      </border>
    </dxf>
    <dxf>
      <font>
        <b/>
        <sz val="12"/>
        <color rgb="FFFF0000"/>
        <name val="Futura Bk BT"/>
        <scheme val="none"/>
      </font>
      <alignment horizontal="left" vertical="top" textRotation="0" wrapText="1" indent="0" justifyLastLine="0" shrinkToFit="0" readingOrder="0"/>
      <border diagonalUp="0" diagonalDown="0">
        <left style="thin">
          <color indexed="64"/>
        </left>
        <right style="thin">
          <color indexed="64"/>
        </right>
        <top/>
        <bottom/>
      </border>
      <protection locked="1"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2"/>
        <color rgb="FFFF0000"/>
        <name val="Futura Bk BT"/>
        <scheme val="none"/>
      </font>
      <alignment horizontal="left" vertical="top" textRotation="0" wrapText="1" indent="0" justifyLastLine="0" shrinkToFit="0" readingOrder="0"/>
      <border diagonalUp="0" diagonalDown="0">
        <left style="thin">
          <color indexed="64"/>
        </left>
        <right style="thin">
          <color indexed="64"/>
        </right>
        <top/>
        <bottom/>
      </border>
      <protection locked="1"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medium">
          <color indexed="64"/>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border>
      <protection locked="1"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22"/>
        <color theme="1"/>
        <name val="Futura Bk BT"/>
        <family val="2"/>
        <scheme val="none"/>
      </font>
      <fill>
        <patternFill patternType="solid">
          <fgColor indexed="64"/>
          <bgColor rgb="FFFFFF00"/>
        </patternFill>
      </fill>
      <alignment horizontal="center" vertical="center" textRotation="0" wrapText="1" indent="0" justifyLastLine="0" shrinkToFit="0" readingOrder="0"/>
      <border diagonalUp="0" diagonalDown="0" outline="0">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border>
      <protection locked="1"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medium">
          <color indexed="64"/>
        </left>
        <right/>
        <top style="medium">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center" textRotation="0" wrapText="1" indent="0" justifyLastLine="0" shrinkToFit="0" readingOrder="0"/>
      <border diagonalUp="0" diagonalDown="0" outline="0">
        <left style="thin">
          <color indexed="64"/>
        </left>
        <right/>
        <top style="medium">
          <color indexed="64"/>
        </top>
        <bottom style="medium">
          <color indexed="64"/>
        </bottom>
      </border>
    </dxf>
    <dxf>
      <font>
        <b val="0"/>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border>
      <protection locked="1"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style="medium">
          <color indexed="64"/>
        </right>
        <top style="thin">
          <color indexed="64"/>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rgb="FFFF0000"/>
        <name val="Futura Bk BT"/>
        <scheme val="none"/>
      </font>
      <alignment horizontal="left" vertical="top" textRotation="0" wrapText="1" indent="0" justifyLastLine="0" shrinkToFit="0" readingOrder="0"/>
      <border diagonalUp="0" diagonalDown="0">
        <left style="thin">
          <color indexed="64"/>
        </left>
        <right style="thin">
          <color indexed="64"/>
        </right>
        <top/>
        <bottom/>
      </border>
      <protection locked="1"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border diagonalUp="0" diagonalDown="0">
        <left style="thin">
          <color indexed="64"/>
        </left>
        <right style="thin">
          <color indexed="64"/>
        </right>
        <top/>
        <bottom/>
      </border>
      <protection locked="1"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protection locked="1" hidden="0"/>
    </dxf>
    <dxf>
      <border outline="0">
        <left style="thin">
          <color indexed="64"/>
        </left>
        <right style="thin">
          <color indexed="64"/>
        </right>
      </border>
    </dxf>
    <dxf>
      <protection locked="1" hidden="0"/>
    </dxf>
    <dxf>
      <font>
        <b/>
        <i val="0"/>
        <strike val="0"/>
        <condense val="0"/>
        <extend val="0"/>
        <outline val="0"/>
        <shadow val="0"/>
        <u val="none"/>
        <vertAlign val="baseline"/>
        <sz val="14"/>
        <color theme="1"/>
        <name val="Futura Bk BT"/>
        <family val="2"/>
        <scheme val="none"/>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darkUp">
          <fgColor theme="0" tint="-0.1499679555650502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rgb="FFFF0000"/>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outline="0">
        <left/>
        <right style="thin">
          <color indexed="64"/>
        </right>
        <top/>
        <bottom/>
      </border>
    </dxf>
    <dxf>
      <alignment horizontal="left" vertical="top" textRotation="0" indent="0" justifyLastLine="0" shrinkToFit="0"/>
      <protection locked="0" hidden="0"/>
    </dxf>
    <dxf>
      <border outline="0">
        <left style="thin">
          <color indexed="64"/>
        </left>
        <right style="thin">
          <color indexed="64"/>
        </right>
        <top style="thin">
          <color indexed="64"/>
        </top>
        <bottom style="thin">
          <color indexed="64"/>
        </bottom>
      </border>
    </dxf>
    <dxf>
      <alignment horizontal="left" vertical="top" textRotation="0" indent="0" justifyLastLine="0" shrinkToFit="0"/>
      <protection locked="0" hidden="0"/>
    </dxf>
    <dxf>
      <alignment horizontal="left" vertical="top" textRotation="0" indent="0" justifyLastLine="0" shrinkToFit="0"/>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darkUp">
          <fgColor theme="0" tint="-0.1499679555650502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rgb="FFFF0000"/>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outline="0">
        <left/>
        <right style="thin">
          <color indexed="64"/>
        </right>
        <top/>
        <bottom/>
      </border>
    </dxf>
    <dxf>
      <alignment horizontal="left" vertical="top" textRotation="0" indent="0" justifyLastLine="0" shrinkToFit="0"/>
      <protection locked="0" hidden="0"/>
    </dxf>
    <dxf>
      <border outline="0">
        <left style="thin">
          <color indexed="64"/>
        </left>
        <right style="thin">
          <color indexed="64"/>
        </right>
        <top style="thin">
          <color indexed="64"/>
        </top>
        <bottom style="thin">
          <color indexed="64"/>
        </bottom>
      </border>
    </dxf>
    <dxf>
      <alignment horizontal="left" vertical="top" textRotation="0" indent="0" justifyLastLine="0" shrinkToFit="0"/>
      <protection locked="0" hidden="0"/>
    </dxf>
    <dxf>
      <alignment horizontal="left" vertical="top" textRotation="0" indent="0" justifyLastLine="0" shrinkToFit="0"/>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darkUp">
          <fgColor theme="0" tint="-0.1499679555650502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rgb="FFFF0000"/>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outline="0">
        <left/>
        <right style="thin">
          <color indexed="64"/>
        </right>
        <top/>
        <bottom/>
      </border>
    </dxf>
    <dxf>
      <alignment horizontal="left" vertical="top" textRotation="0" indent="0" justifyLastLine="0" shrinkToFit="0"/>
      <protection locked="0" hidden="0"/>
    </dxf>
    <dxf>
      <border outline="0">
        <left style="thin">
          <color indexed="64"/>
        </left>
        <right style="thin">
          <color indexed="64"/>
        </right>
        <top style="thin">
          <color indexed="64"/>
        </top>
        <bottom style="thin">
          <color indexed="64"/>
        </bottom>
      </border>
    </dxf>
    <dxf>
      <alignment horizontal="left" vertical="top" textRotation="0" indent="0" justifyLastLine="0" shrinkToFit="0"/>
      <protection locked="0" hidden="0"/>
    </dxf>
    <dxf>
      <alignment horizontal="left" vertical="top" textRotation="0" indent="0" justifyLastLine="0" shrinkToFit="0"/>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darkUp">
          <fgColor theme="0" tint="-0.1499679555650502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rgb="FFFF0000"/>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outline="0">
        <left/>
        <right style="thin">
          <color indexed="64"/>
        </right>
        <top/>
        <bottom/>
      </border>
    </dxf>
    <dxf>
      <alignment horizontal="left" vertical="top" textRotation="0" indent="0" justifyLastLine="0" shrinkToFit="0"/>
      <protection locked="0" hidden="0"/>
    </dxf>
    <dxf>
      <border outline="0">
        <left style="thin">
          <color indexed="64"/>
        </left>
        <right style="thin">
          <color indexed="64"/>
        </right>
        <top style="thin">
          <color indexed="64"/>
        </top>
        <bottom style="thin">
          <color indexed="64"/>
        </bottom>
      </border>
    </dxf>
    <dxf>
      <alignment horizontal="left" vertical="top" textRotation="0" indent="0" justifyLastLine="0" shrinkToFit="0"/>
      <protection locked="0" hidden="0"/>
    </dxf>
    <dxf>
      <alignment horizontal="left" vertical="top" textRotation="0" indent="0" justifyLastLine="0" shrinkToFit="0"/>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darkUp">
          <fgColor theme="0" tint="-0.1499679555650502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rgb="FFFF0000"/>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outline="0">
        <left/>
        <right style="thin">
          <color indexed="64"/>
        </right>
        <top/>
        <bottom/>
      </border>
    </dxf>
    <dxf>
      <alignment horizontal="left" vertical="top" textRotation="0" indent="0" justifyLastLine="0" shrinkToFit="0"/>
      <protection locked="0" hidden="0"/>
    </dxf>
    <dxf>
      <border outline="0">
        <left style="thin">
          <color indexed="64"/>
        </left>
        <right style="thin">
          <color indexed="64"/>
        </right>
        <top style="thin">
          <color indexed="64"/>
        </top>
        <bottom style="thin">
          <color indexed="64"/>
        </bottom>
      </border>
    </dxf>
    <dxf>
      <alignment horizontal="left" vertical="top" textRotation="0" indent="0" justifyLastLine="0" shrinkToFit="0"/>
      <protection locked="0" hidden="0"/>
    </dxf>
    <dxf>
      <alignment horizontal="left" vertical="top" textRotation="0" indent="0" justifyLastLine="0" shrinkToFit="0"/>
      <protection locked="0" hidden="0"/>
    </dxf>
    <dxf>
      <font>
        <b val="0"/>
        <i val="0"/>
        <strike val="0"/>
        <condense val="0"/>
        <extend val="0"/>
        <outline val="0"/>
        <shadow val="0"/>
        <u val="none"/>
        <vertAlign val="baseline"/>
        <sz val="12"/>
        <color theme="1"/>
        <name val="Futura Bk BT"/>
        <family val="2"/>
        <scheme val="none"/>
      </font>
      <numFmt numFmtId="165" formatCode="_-[$$-409]* #,##0_ ;_-[$$-409]* \-#,##0\ ;_-[$$-409]* &quot;-&quot;??_ ;_-@_ "/>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darkUp">
          <fgColor theme="0" tint="-0.1499679555650502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2"/>
        <color theme="1"/>
        <name val="Futura Bk BT"/>
        <family val="2"/>
        <scheme val="none"/>
      </font>
      <numFmt numFmtId="165" formatCode="_-[$$-409]* #,##0_ ;_-[$$-409]* \-#,##0\ ;_-[$$-409]* &quot;-&quot;??_ ;_-@_ "/>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numFmt numFmtId="165" formatCode="_-[$$-409]* #,##0_ ;_-[$$-409]* \-#,##0\ ;_-[$$-409]* &quot;-&quot;??_ ;_-@_ "/>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outline="0">
        <left/>
        <right style="thin">
          <color indexed="64"/>
        </right>
        <top/>
        <bottom/>
      </border>
    </dxf>
    <dxf>
      <alignment horizontal="left" vertical="top" textRotation="0" indent="0" justifyLastLine="0" shrinkToFit="0"/>
      <protection locked="0" hidden="0"/>
    </dxf>
    <dxf>
      <border outline="0">
        <left style="thin">
          <color indexed="64"/>
        </left>
        <right style="thin">
          <color indexed="64"/>
        </right>
        <top style="thin">
          <color indexed="64"/>
        </top>
        <bottom style="thin">
          <color indexed="64"/>
        </bottom>
      </border>
    </dxf>
    <dxf>
      <alignment horizontal="left" vertical="top" textRotation="0" indent="0" justifyLastLine="0" shrinkToFit="0"/>
      <protection locked="0" hidden="0"/>
    </dxf>
    <dxf>
      <alignment horizontal="left" vertical="top" textRotation="0" indent="0" justifyLastLine="0" shrinkToFit="0"/>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darkUp">
          <fgColor theme="0" tint="-0.1499679555650502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rgb="FFFF0000"/>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outline="0">
        <left/>
        <right style="thin">
          <color indexed="64"/>
        </right>
        <top/>
        <bottom/>
      </border>
    </dxf>
    <dxf>
      <alignment horizontal="left" vertical="top" textRotation="0" indent="0" justifyLastLine="0" shrinkToFit="0"/>
      <protection locked="0" hidden="0"/>
    </dxf>
    <dxf>
      <border outline="0">
        <left style="thin">
          <color indexed="64"/>
        </left>
        <right style="thin">
          <color indexed="64"/>
        </right>
        <top style="thin">
          <color indexed="64"/>
        </top>
        <bottom style="thin">
          <color indexed="64"/>
        </bottom>
      </border>
    </dxf>
    <dxf>
      <alignment horizontal="left" vertical="top" textRotation="0" indent="0" justifyLastLine="0" shrinkToFit="0"/>
      <protection locked="0" hidden="0"/>
    </dxf>
    <dxf>
      <alignment horizontal="left" vertical="top" textRotation="0" indent="0" justifyLastLine="0" shrinkToFit="0"/>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darkUp">
          <fgColor theme="0" tint="-0.1499679555650502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rgb="FFFF0000"/>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outline="0">
        <left/>
        <right style="thin">
          <color indexed="64"/>
        </right>
        <top/>
        <bottom/>
      </border>
    </dxf>
    <dxf>
      <alignment horizontal="left" vertical="top" textRotation="0" indent="0" justifyLastLine="0" shrinkToFit="0"/>
      <protection locked="0" hidden="0"/>
    </dxf>
    <dxf>
      <border outline="0">
        <left style="thin">
          <color indexed="64"/>
        </left>
        <right style="thin">
          <color indexed="64"/>
        </right>
        <top style="thin">
          <color indexed="64"/>
        </top>
        <bottom style="thin">
          <color indexed="64"/>
        </bottom>
      </border>
    </dxf>
    <dxf>
      <alignment horizontal="left" vertical="top" textRotation="0" indent="0" justifyLastLine="0" shrinkToFit="0"/>
      <protection locked="0" hidden="0"/>
    </dxf>
    <dxf>
      <alignment horizontal="left" vertical="top" textRotation="0" indent="0" justifyLastLine="0" shrinkToFit="0"/>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darkUp">
          <fgColor theme="0" tint="-0.1499679555650502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rgb="FFFF0000"/>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outline="0">
        <left/>
        <right style="thin">
          <color indexed="64"/>
        </right>
        <top/>
        <bottom/>
      </border>
    </dxf>
    <dxf>
      <alignment horizontal="left" vertical="top" textRotation="0" indent="0" justifyLastLine="0" shrinkToFit="0"/>
      <protection locked="0" hidden="0"/>
    </dxf>
    <dxf>
      <border outline="0">
        <left style="thin">
          <color indexed="64"/>
        </left>
        <right style="thin">
          <color indexed="64"/>
        </right>
        <top style="thin">
          <color indexed="64"/>
        </top>
        <bottom style="thin">
          <color indexed="64"/>
        </bottom>
      </border>
    </dxf>
    <dxf>
      <alignment horizontal="left" vertical="top" textRotation="0" indent="0" justifyLastLine="0" shrinkToFit="0"/>
      <protection locked="0" hidden="0"/>
    </dxf>
    <dxf>
      <alignment horizontal="left" vertical="top" textRotation="0" indent="0" justifyLastLine="0" shrinkToFit="0"/>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darkUp">
          <fgColor theme="0" tint="-0.1499679555650502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rgb="FFFF0000"/>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outline="0">
        <left/>
        <right style="thin">
          <color indexed="64"/>
        </right>
        <top/>
        <bottom/>
      </border>
    </dxf>
    <dxf>
      <alignment horizontal="left" vertical="top" textRotation="0" indent="0" justifyLastLine="0" shrinkToFit="0"/>
      <protection locked="0" hidden="0"/>
    </dxf>
    <dxf>
      <border outline="0">
        <left style="thin">
          <color indexed="64"/>
        </left>
        <right style="thin">
          <color indexed="64"/>
        </right>
        <top style="thin">
          <color indexed="64"/>
        </top>
        <bottom style="thin">
          <color indexed="64"/>
        </bottom>
      </border>
    </dxf>
    <dxf>
      <alignment horizontal="left" vertical="top" textRotation="0" indent="0" justifyLastLine="0" shrinkToFit="0"/>
      <protection locked="0" hidden="0"/>
    </dxf>
    <dxf>
      <alignment horizontal="left" vertical="top" textRotation="0" indent="0" justifyLastLine="0" shrinkToFit="0"/>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darkUp">
          <fgColor theme="0" tint="-0.1499679555650502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rgb="FFFF0000"/>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medium">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outline="0">
        <left/>
        <right style="thin">
          <color indexed="64"/>
        </right>
        <top/>
        <bottom/>
      </border>
    </dxf>
    <dxf>
      <alignment horizontal="left" vertical="top" textRotation="0" indent="0" justifyLastLine="0" shrinkToFit="0"/>
      <protection locked="0" hidden="0"/>
    </dxf>
    <dxf>
      <border outline="0">
        <left style="thin">
          <color indexed="64"/>
        </left>
        <right style="thin">
          <color indexed="64"/>
        </right>
        <top style="thin">
          <color indexed="64"/>
        </top>
        <bottom style="thin">
          <color indexed="64"/>
        </bottom>
      </border>
    </dxf>
    <dxf>
      <alignment horizontal="left" vertical="top" textRotation="0" indent="0" justifyLastLine="0" shrinkToFit="0"/>
      <protection locked="0" hidden="0"/>
    </dxf>
    <dxf>
      <alignment horizontal="left" vertical="top" textRotation="0" indent="0" justifyLastLine="0" shrinkToFit="0"/>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darkUp">
          <fgColor theme="0" tint="-0.1499679555650502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rgb="FFFF0000"/>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medium">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outline="0">
        <left/>
        <right style="thin">
          <color indexed="64"/>
        </right>
        <top/>
        <bottom/>
      </border>
    </dxf>
    <dxf>
      <alignment horizontal="left" vertical="top" textRotation="0" indent="0" justifyLastLine="0" shrinkToFit="0"/>
      <protection locked="0" hidden="0"/>
    </dxf>
    <dxf>
      <border outline="0">
        <left style="thin">
          <color indexed="64"/>
        </left>
        <right style="thin">
          <color indexed="64"/>
        </right>
        <top style="thin">
          <color indexed="64"/>
        </top>
        <bottom style="thin">
          <color indexed="64"/>
        </bottom>
      </border>
    </dxf>
    <dxf>
      <alignment horizontal="left" vertical="top" textRotation="0" indent="0" justifyLastLine="0" shrinkToFit="0"/>
      <protection locked="0" hidden="0"/>
    </dxf>
    <dxf>
      <alignment horizontal="left" vertical="top" textRotation="0" indent="0" justifyLastLine="0" shrinkToFit="0"/>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darkUp">
          <fgColor theme="0" tint="-0.1499679555650502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rgb="FFFF0000"/>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outline="0">
        <left/>
        <right style="thin">
          <color indexed="64"/>
        </right>
        <top/>
        <bottom/>
      </border>
    </dxf>
    <dxf>
      <alignment horizontal="left" vertical="top" textRotation="0" indent="0" justifyLastLine="0" shrinkToFit="0"/>
      <protection locked="0" hidden="0"/>
    </dxf>
    <dxf>
      <border outline="0">
        <left style="thin">
          <color indexed="64"/>
        </left>
        <right style="thin">
          <color indexed="64"/>
        </right>
        <top style="thin">
          <color indexed="64"/>
        </top>
        <bottom style="thin">
          <color indexed="64"/>
        </bottom>
      </border>
    </dxf>
    <dxf>
      <alignment horizontal="left" vertical="top" textRotation="0" indent="0" justifyLastLine="0" shrinkToFit="0"/>
      <protection locked="0" hidden="0"/>
    </dxf>
    <dxf>
      <alignment horizontal="left" vertical="top" textRotation="0" indent="0" justifyLastLine="0" shrinkToFit="0"/>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darkUp">
          <fgColor theme="0" tint="-0.1499679555650502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rgb="FFFF0000"/>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outline="0">
        <left/>
        <right style="thin">
          <color indexed="64"/>
        </right>
        <top/>
        <bottom/>
      </border>
    </dxf>
    <dxf>
      <alignment horizontal="left" vertical="top" textRotation="0" indent="0" justifyLastLine="0" shrinkToFit="0"/>
      <protection locked="0" hidden="0"/>
    </dxf>
    <dxf>
      <border outline="0">
        <left style="thin">
          <color indexed="64"/>
        </left>
        <right style="thin">
          <color indexed="64"/>
        </right>
        <top style="thin">
          <color indexed="64"/>
        </top>
        <bottom style="thin">
          <color indexed="64"/>
        </bottom>
      </border>
    </dxf>
    <dxf>
      <alignment horizontal="left" vertical="top" textRotation="0" indent="0" justifyLastLine="0" shrinkToFit="0"/>
      <protection locked="0" hidden="0"/>
    </dxf>
    <dxf>
      <alignment horizontal="left" vertical="top" textRotation="0" indent="0" justifyLastLine="0" shrinkToFit="0"/>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darkUp">
          <fgColor theme="0" tint="-0.14996795556505021"/>
          <bgColor theme="0"/>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theme="0"/>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rgb="FFFF0000"/>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theme="0"/>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outline="0">
        <left/>
        <right style="thin">
          <color indexed="64"/>
        </right>
        <top/>
        <bottom/>
      </border>
    </dxf>
    <dxf>
      <alignment horizontal="left" vertical="top" textRotation="0" indent="0" justifyLastLine="0" shrinkToFit="0"/>
      <protection locked="0" hidden="0"/>
    </dxf>
    <dxf>
      <border outline="0">
        <left style="thin">
          <color indexed="64"/>
        </left>
        <right style="thin">
          <color indexed="64"/>
        </right>
        <top style="thin">
          <color indexed="64"/>
        </top>
        <bottom style="thin">
          <color indexed="64"/>
        </bottom>
      </border>
    </dxf>
    <dxf>
      <alignment horizontal="left" vertical="top" textRotation="0" indent="0" justifyLastLine="0" shrinkToFit="0"/>
      <protection locked="0" hidden="0"/>
    </dxf>
    <dxf>
      <alignment horizontal="left" vertical="top" textRotation="0" indent="0" justifyLastLine="0" shrinkToFit="0"/>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darkUp">
          <fgColor theme="0" tint="-0.1499679555650502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rgb="FFFF0000"/>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medium">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medium">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medium">
          <color indexed="64"/>
        </top>
        <bottom/>
        <vertical/>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outline="0">
        <left/>
        <right style="thin">
          <color indexed="64"/>
        </right>
        <top/>
        <bottom/>
      </border>
    </dxf>
    <dxf>
      <alignment horizontal="left" vertical="top" textRotation="0" indent="0" justifyLastLine="0" shrinkToFit="0"/>
      <protection locked="0" hidden="0"/>
    </dxf>
    <dxf>
      <border outline="0">
        <left style="thin">
          <color indexed="64"/>
        </left>
        <right style="thin">
          <color indexed="64"/>
        </right>
        <top style="thin">
          <color indexed="64"/>
        </top>
        <bottom style="thin">
          <color indexed="64"/>
        </bottom>
      </border>
    </dxf>
    <dxf>
      <alignment horizontal="left" vertical="top" textRotation="0" indent="0" justifyLastLine="0" shrinkToFit="0"/>
      <protection locked="0" hidden="0"/>
    </dxf>
    <dxf>
      <alignment horizontal="left" vertical="top" textRotation="0" indent="0" justifyLastLine="0" shrinkToFit="0"/>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darkUp">
          <fgColor theme="0" tint="-0.1499679555650502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rgb="FFFF0000"/>
        <name val="Futura Bk BT"/>
        <family val="2"/>
        <scheme val="none"/>
      </font>
      <numFmt numFmtId="165" formatCode="_-[$$-409]* #,##0_ ;_-[$$-409]* \-#,##0\ ;_-[$$-409]* &quot;-&quot;??_ ;_-@_ "/>
      <fill>
        <patternFill patternType="solid">
          <fgColor indexed="64"/>
          <bgColor rgb="FFFFFF00"/>
        </patternFill>
      </fill>
      <alignment horizontal="left" vertical="top" textRotation="0" wrapText="0" indent="0" justifyLastLine="0" shrinkToFit="0" readingOrder="0"/>
      <border diagonalUp="0" diagonalDown="0" outline="0">
        <left/>
        <right style="thin">
          <color indexed="64"/>
        </right>
        <top/>
        <bottom style="medium">
          <color indexed="64"/>
        </bottom>
      </border>
    </dxf>
    <dxf>
      <font>
        <b val="0"/>
        <i val="0"/>
        <strike val="0"/>
        <condense val="0"/>
        <extend val="0"/>
        <outline val="0"/>
        <shadow val="0"/>
        <u val="none"/>
        <vertAlign val="baseline"/>
        <sz val="12"/>
        <color rgb="FFFF0000"/>
        <name val="Futura Bk BT"/>
        <family val="2"/>
        <scheme val="none"/>
      </font>
      <numFmt numFmtId="165" formatCode="_-[$$-409]* #,##0_ ;_-[$$-409]* \-#,##0\ ;_-[$$-409]* &quot;-&quot;??_ ;_-@_ "/>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darkUp">
          <fgColor theme="0" tint="-0.14996795556505021"/>
          <bgColor rgb="FFFFFF0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bgColor rgb="FFFFFF0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outline="0">
        <left/>
        <right style="thin">
          <color indexed="64"/>
        </right>
        <top/>
        <bottom/>
      </border>
    </dxf>
    <dxf>
      <alignment horizontal="left" vertical="top" textRotation="0" indent="0" justifyLastLine="0" shrinkToFit="0"/>
      <protection locked="0" hidden="0"/>
    </dxf>
    <dxf>
      <border outline="0">
        <left style="thin">
          <color indexed="64"/>
        </left>
        <right style="thin">
          <color indexed="64"/>
        </right>
        <top style="thin">
          <color indexed="64"/>
        </top>
        <bottom style="thin">
          <color indexed="64"/>
        </bottom>
      </border>
    </dxf>
    <dxf>
      <alignment horizontal="left" vertical="top" textRotation="0" indent="0" justifyLastLine="0" shrinkToFit="0"/>
      <protection locked="0" hidden="0"/>
    </dxf>
    <dxf>
      <alignment horizontal="left" vertical="top" textRotation="0" indent="0" justifyLastLine="0" shrinkToFit="0"/>
      <protection locked="0" hidden="0"/>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auto="1"/>
        <name val="Futura Bk BT"/>
        <family val="2"/>
        <scheme val="none"/>
      </font>
      <numFmt numFmtId="165" formatCode="_-[$$-409]* #,##0_ ;_-[$$-409]* \-#,##0\ ;_-[$$-409]* &quot;-&quot;??_ ;_-@_ "/>
      <fill>
        <patternFill patternType="darkUp">
          <fgColor theme="0" tint="-0.14996795556505021"/>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2"/>
        <color theme="1"/>
        <name val="Futura Bk BT"/>
        <scheme val="none"/>
      </font>
      <numFmt numFmtId="165" formatCode="_-[$$-409]* #,##0_ ;_-[$$-409]* \-#,##0\ ;_-[$$-409]* &quot;-&quot;??_ ;_-@_ "/>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auto="1"/>
        <name val="Futura Bk BT"/>
        <scheme val="none"/>
      </font>
      <numFmt numFmtId="165" formatCode="_-[$$-409]* #,##0_ ;_-[$$-409]* \-#,##0\ ;_-[$$-409]* &quot;-&quot;??_ ;_-@_ "/>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1"/>
        <color auto="1"/>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rgb="FFFF0000"/>
        <name val="Futura Bk BT"/>
        <scheme val="none"/>
      </font>
      <numFmt numFmtId="165" formatCode="_-[$$-409]* #,##0_ ;_-[$$-409]* \-#,##0\ ;_-[$$-409]* &quot;-&quot;??_ ;_-@_ "/>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rgb="FFFF0000"/>
        <name val="Futura Bk BT"/>
        <family val="2"/>
        <scheme val="none"/>
      </font>
      <numFmt numFmtId="165" formatCode="_-[$$-409]* #,##0_ ;_-[$$-409]* \-#,##0\ ;_-[$$-409]* &quot;-&quot;??_ ;_-@_ "/>
      <fill>
        <patternFill patternType="solid">
          <fgColor indexed="64"/>
          <bgColor theme="0"/>
        </patternFill>
      </fill>
      <alignment horizontal="left" vertical="top" textRotation="0" wrapText="1" indent="0" justifyLastLine="0" shrinkToFit="0" readingOrder="0"/>
      <border diagonalUp="0" diagonalDown="0" outline="0">
        <left/>
        <right/>
        <top/>
        <bottom style="thin">
          <color indexed="64"/>
        </bottom>
      </border>
      <protection locked="0" hidden="0"/>
    </dxf>
    <dxf>
      <font>
        <b val="0"/>
        <i val="0"/>
        <strike val="0"/>
        <condense val="0"/>
        <extend val="0"/>
        <outline val="0"/>
        <shadow val="0"/>
        <u val="none"/>
        <vertAlign val="baseline"/>
        <sz val="11"/>
        <color rgb="FFFF0000"/>
        <name val="Futura Bk BT"/>
        <family val="2"/>
        <scheme val="none"/>
      </font>
      <numFmt numFmtId="165" formatCode="_-[$$-409]* #,##0_ ;_-[$$-409]* \-#,##0\ ;_-[$$-409]* &quot;-&quot;??_ ;_-@_ "/>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numFmt numFmtId="13" formatCode="0%"/>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fill>
        <patternFill patternType="darkUp">
          <fgColor theme="0" tint="-0.149967955565050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2"/>
        <color rgb="FFFF0000"/>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i val="0"/>
        <strike val="0"/>
        <condense val="0"/>
        <extend val="0"/>
        <outline val="0"/>
        <shadow val="0"/>
        <u val="none"/>
        <vertAlign val="baseline"/>
        <sz val="12"/>
        <color rgb="FFFF0000"/>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rgb="FFFF0000"/>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numFmt numFmtId="166" formatCode="[$]d\ mmm\ yyyy;@" x16r2:formatCode16="[$-en-NG,1]d\ mmm\ 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Futura Bk BT"/>
        <family val="2"/>
        <scheme val="none"/>
      </font>
      <fill>
        <patternFill patternType="solid">
          <fgColor indexed="64"/>
          <bgColor rgb="FFFFFF00"/>
        </patternFill>
      </fill>
      <alignment horizontal="left" vertical="top" textRotation="0" wrapText="1" indent="0" justifyLastLine="0" shrinkToFit="0" readingOrder="1"/>
      <border diagonalUp="0" diagonalDown="0" outline="0">
        <left/>
        <right style="thin">
          <color indexed="64"/>
        </right>
        <top/>
        <bottom style="medium">
          <color indexed="64"/>
        </bottom>
      </border>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Futura Bk BT"/>
        <family val="2"/>
        <scheme val="none"/>
      </font>
      <alignment horizontal="left" vertical="top" textRotation="0" wrapText="1" indent="0" justifyLastLine="0" shrinkToFit="0" readingOrder="1"/>
      <border diagonalUp="0" diagonalDown="0" outline="0">
        <left/>
        <right style="thin">
          <color indexed="64"/>
        </right>
        <top/>
        <bottom/>
      </border>
    </dxf>
    <dxf>
      <alignment horizontal="left" vertical="top" textRotation="0" indent="0" justifyLastLine="0" shrinkToFit="0"/>
      <protection locked="0" hidden="0"/>
    </dxf>
    <dxf>
      <border outline="0">
        <left style="thin">
          <color indexed="64"/>
        </left>
        <right style="thin">
          <color indexed="64"/>
        </right>
        <top style="thin">
          <color indexed="64"/>
        </top>
        <bottom style="thin">
          <color indexed="64"/>
        </bottom>
      </border>
    </dxf>
    <dxf>
      <alignment horizontal="left" vertical="top" textRotation="0" indent="0" justifyLastLine="0" shrinkToFit="0"/>
      <protection locked="0" hidden="0"/>
    </dxf>
    <dxf>
      <alignment horizontal="left" vertical="top" textRotation="0" indent="0" justifyLastLine="0" shrinkToFit="0"/>
      <protection locked="0" hidden="0"/>
    </dxf>
  </dxfs>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ustomXml" Target="../ink/ink1.xml"/><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customXml" Target="../ink/ink2.xml"/></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406400</xdr:colOff>
      <xdr:row>2</xdr:row>
      <xdr:rowOff>53641</xdr:rowOff>
    </xdr:to>
    <xdr:pic>
      <xdr:nvPicPr>
        <xdr:cNvPr id="2" name="Picture 1">
          <a:extLst>
            <a:ext uri="{FF2B5EF4-FFF2-40B4-BE49-F238E27FC236}">
              <a16:creationId xmlns:a16="http://schemas.microsoft.com/office/drawing/2014/main" id="{9D72E7D6-B8C3-1573-CA51-DD27C35CD4DE}"/>
            </a:ext>
          </a:extLst>
        </xdr:cNvPr>
        <xdr:cNvPicPr>
          <a:picLocks noChangeAspect="1"/>
        </xdr:cNvPicPr>
      </xdr:nvPicPr>
      <xdr:blipFill>
        <a:blip xmlns:r="http://schemas.openxmlformats.org/officeDocument/2006/relationships" r:embed="rId1"/>
        <a:stretch>
          <a:fillRect/>
        </a:stretch>
      </xdr:blipFill>
      <xdr:spPr>
        <a:xfrm>
          <a:off x="0" y="0"/>
          <a:ext cx="406400" cy="5425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607868" cy="542636"/>
    <xdr:pic>
      <xdr:nvPicPr>
        <xdr:cNvPr id="2" name="Picture 1">
          <a:extLst>
            <a:ext uri="{FF2B5EF4-FFF2-40B4-BE49-F238E27FC236}">
              <a16:creationId xmlns:a16="http://schemas.microsoft.com/office/drawing/2014/main" id="{77E1AF25-8635-4561-BD8B-2749D521E2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7868" cy="54263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603250</xdr:colOff>
      <xdr:row>2</xdr:row>
      <xdr:rowOff>139700</xdr:rowOff>
    </xdr:to>
    <xdr:pic>
      <xdr:nvPicPr>
        <xdr:cNvPr id="2" name="Picture 1">
          <a:extLst>
            <a:ext uri="{FF2B5EF4-FFF2-40B4-BE49-F238E27FC236}">
              <a16:creationId xmlns:a16="http://schemas.microsoft.com/office/drawing/2014/main" id="{4E733E0D-EBC2-40C8-9717-4D322451C6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250" cy="546100"/>
        </a:xfrm>
        <a:prstGeom prst="rect">
          <a:avLst/>
        </a:prstGeom>
      </xdr:spPr>
    </xdr:pic>
    <xdr:clientData/>
  </xdr:twoCellAnchor>
  <xdr:twoCellAnchor editAs="oneCell">
    <xdr:from>
      <xdr:col>6</xdr:col>
      <xdr:colOff>52760</xdr:colOff>
      <xdr:row>12</xdr:row>
      <xdr:rowOff>0</xdr:rowOff>
    </xdr:from>
    <xdr:to>
      <xdr:col>6</xdr:col>
      <xdr:colOff>93440</xdr:colOff>
      <xdr:row>12</xdr:row>
      <xdr:rowOff>1080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Ink 2">
              <a:extLst>
                <a:ext uri="{FF2B5EF4-FFF2-40B4-BE49-F238E27FC236}">
                  <a16:creationId xmlns:a16="http://schemas.microsoft.com/office/drawing/2014/main" id="{64ADF8D2-BCF4-4E3E-8772-D1D60348E432}"/>
                </a:ext>
              </a:extLst>
            </xdr14:cNvPr>
            <xdr14:cNvContentPartPr/>
          </xdr14:nvContentPartPr>
          <xdr14:nvPr macro=""/>
          <xdr14:xfrm>
            <a:off x="11321124" y="5648760"/>
            <a:ext cx="40680" cy="1080"/>
          </xdr14:xfrm>
        </xdr:contentPart>
      </mc:Choice>
      <mc:Fallback xmlns="">
        <xdr:pic>
          <xdr:nvPicPr>
            <xdr:cNvPr id="3" name="Ink 2">
              <a:extLst>
                <a:ext uri="{FF2B5EF4-FFF2-40B4-BE49-F238E27FC236}">
                  <a16:creationId xmlns:a16="http://schemas.microsoft.com/office/drawing/2014/main" id="{4B62CA00-FB08-31BC-DCA3-3C52B5B6E8A5}"/>
                </a:ext>
              </a:extLst>
            </xdr:cNvPr>
            <xdr:cNvPicPr/>
          </xdr:nvPicPr>
          <xdr:blipFill>
            <a:blip xmlns:r="http://schemas.openxmlformats.org/officeDocument/2006/relationships" r:embed="rId3"/>
            <a:stretch>
              <a:fillRect/>
            </a:stretch>
          </xdr:blipFill>
          <xdr:spPr>
            <a:xfrm>
              <a:off x="11312484" y="5640120"/>
              <a:ext cx="58320" cy="18720"/>
            </a:xfrm>
            <a:prstGeom prst="rect">
              <a:avLst/>
            </a:prstGeom>
          </xdr:spPr>
        </xdr:pic>
      </mc:Fallback>
    </mc:AlternateContent>
    <xdr:clientData/>
  </xdr:twoCellAnchor>
  <xdr:twoCellAnchor editAs="oneCell">
    <xdr:from>
      <xdr:col>3</xdr:col>
      <xdr:colOff>1727066</xdr:colOff>
      <xdr:row>12</xdr:row>
      <xdr:rowOff>0</xdr:rowOff>
    </xdr:from>
    <xdr:to>
      <xdr:col>3</xdr:col>
      <xdr:colOff>1727426</xdr:colOff>
      <xdr:row>12</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Ink 3">
              <a:extLst>
                <a:ext uri="{FF2B5EF4-FFF2-40B4-BE49-F238E27FC236}">
                  <a16:creationId xmlns:a16="http://schemas.microsoft.com/office/drawing/2014/main" id="{04FFC7E0-01B0-45C8-8033-9FF806D275EA}"/>
                </a:ext>
              </a:extLst>
            </xdr14:cNvPr>
            <xdr14:cNvContentPartPr/>
          </xdr14:nvContentPartPr>
          <xdr14:nvPr macro=""/>
          <xdr14:xfrm>
            <a:off x="7141884" y="6372720"/>
            <a:ext cx="360" cy="360"/>
          </xdr14:xfrm>
        </xdr:contentPart>
      </mc:Choice>
      <mc:Fallback xmlns="">
        <xdr:pic>
          <xdr:nvPicPr>
            <xdr:cNvPr id="4" name="Ink 3">
              <a:extLst>
                <a:ext uri="{FF2B5EF4-FFF2-40B4-BE49-F238E27FC236}">
                  <a16:creationId xmlns:a16="http://schemas.microsoft.com/office/drawing/2014/main" id="{1DA193C7-C8EE-2FD2-89E3-C3C8639F9E59}"/>
                </a:ext>
              </a:extLst>
            </xdr:cNvPr>
            <xdr:cNvPicPr/>
          </xdr:nvPicPr>
          <xdr:blipFill>
            <a:blip xmlns:r="http://schemas.openxmlformats.org/officeDocument/2006/relationships" r:embed="rId5"/>
            <a:stretch>
              <a:fillRect/>
            </a:stretch>
          </xdr:blipFill>
          <xdr:spPr>
            <a:xfrm>
              <a:off x="7133244" y="6363720"/>
              <a:ext cx="18000" cy="18000"/>
            </a:xfrm>
            <a:prstGeom prst="rect">
              <a:avLst/>
            </a:prstGeom>
          </xdr:spPr>
        </xdr:pic>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420660</xdr:colOff>
      <xdr:row>1</xdr:row>
      <xdr:rowOff>340885</xdr:rowOff>
    </xdr:to>
    <xdr:pic>
      <xdr:nvPicPr>
        <xdr:cNvPr id="2" name="Picture 1">
          <a:extLst>
            <a:ext uri="{FF2B5EF4-FFF2-40B4-BE49-F238E27FC236}">
              <a16:creationId xmlns:a16="http://schemas.microsoft.com/office/drawing/2014/main" id="{865D0799-498B-4C5B-BE65-BEFC6DF3DEAE}"/>
            </a:ext>
          </a:extLst>
        </xdr:cNvPr>
        <xdr:cNvPicPr>
          <a:picLocks noChangeAspect="1"/>
        </xdr:cNvPicPr>
      </xdr:nvPicPr>
      <xdr:blipFill>
        <a:blip xmlns:r="http://schemas.openxmlformats.org/officeDocument/2006/relationships" r:embed="rId1"/>
        <a:stretch>
          <a:fillRect/>
        </a:stretch>
      </xdr:blipFill>
      <xdr:spPr>
        <a:xfrm>
          <a:off x="0" y="0"/>
          <a:ext cx="420660" cy="5440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420660</xdr:colOff>
      <xdr:row>1</xdr:row>
      <xdr:rowOff>340885</xdr:rowOff>
    </xdr:to>
    <xdr:pic>
      <xdr:nvPicPr>
        <xdr:cNvPr id="2" name="Picture 1">
          <a:extLst>
            <a:ext uri="{FF2B5EF4-FFF2-40B4-BE49-F238E27FC236}">
              <a16:creationId xmlns:a16="http://schemas.microsoft.com/office/drawing/2014/main" id="{E6106C74-FA8A-9C94-8848-FB6103378100}"/>
            </a:ext>
          </a:extLst>
        </xdr:cNvPr>
        <xdr:cNvPicPr>
          <a:picLocks noChangeAspect="1"/>
        </xdr:cNvPicPr>
      </xdr:nvPicPr>
      <xdr:blipFill>
        <a:blip xmlns:r="http://schemas.openxmlformats.org/officeDocument/2006/relationships" r:embed="rId1"/>
        <a:stretch>
          <a:fillRect/>
        </a:stretch>
      </xdr:blipFill>
      <xdr:spPr>
        <a:xfrm>
          <a:off x="0" y="0"/>
          <a:ext cx="420660" cy="542591"/>
        </a:xfrm>
        <a:prstGeom prst="rect">
          <a:avLst/>
        </a:prstGeom>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3-20T14:53:25.327"/>
    </inkml:context>
    <inkml:brush xml:id="br0">
      <inkml:brushProperty name="width" value="0.05" units="cm"/>
      <inkml:brushProperty name="height" value="0.05" units="cm"/>
    </inkml:brush>
  </inkml:definitions>
  <inkml:trace contextRef="#ctx0" brushRef="#br0">113 3 20903 0 0,'-112'-2'656'0'0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3-20T14:53:25.331"/>
    </inkml:context>
    <inkml:brush xml:id="br0">
      <inkml:brushProperty name="width" value="0.05" units="cm"/>
      <inkml:brushProperty name="height" value="0.05" units="cm"/>
    </inkml:brush>
  </inkml:definitions>
  <inkml:trace contextRef="#ctx0" brushRef="#br0">1 0 24447 0 0</inkml:trace>
</inkm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BE2E3E6-B6DB-4FA0-92CC-71E960F87A9E}" name="Engineering" displayName="Engineering" ref="C12:S17" headerRowCount="0" totalsRowCount="1" headerRowDxfId="2996" dataDxfId="2995" totalsRowDxfId="2993" tableBorderDxfId="2994">
  <tableColumns count="17">
    <tableColumn id="1" xr3:uid="{E25FE8FD-C625-4B56-A34A-43F097DF1E3A}" name="Column1" headerRowDxfId="2992" dataDxfId="2991" totalsRowDxfId="2990"/>
    <tableColumn id="2" xr3:uid="{2FD2DBA7-626A-4EAB-9617-F16AC8D3FD7F}" name="Column2" headerRowDxfId="2989" dataDxfId="2988" totalsRowDxfId="2987"/>
    <tableColumn id="3" xr3:uid="{DC06E5DC-4B73-4606-9B1A-15761C6D51F6}" name="Column3" headerRowDxfId="2986" dataDxfId="2985" totalsRowDxfId="2984"/>
    <tableColumn id="4" xr3:uid="{BBBD06DC-CF1D-4C28-AE96-1534AC097DEB}" name="Column4" headerRowDxfId="2983" dataDxfId="2982" totalsRowDxfId="2981"/>
    <tableColumn id="5" xr3:uid="{018755E7-13BF-45C5-860E-7E9207F01344}" name="Column5" headerRowDxfId="2980" dataDxfId="2979" totalsRowDxfId="2978"/>
    <tableColumn id="6" xr3:uid="{1964AAC3-5244-4914-97F8-45D224B138DC}" name="Column6" headerRowDxfId="2977" dataDxfId="2976" totalsRowDxfId="2975"/>
    <tableColumn id="7" xr3:uid="{E0431640-F109-432B-9F81-0BECB313A09C}" name="Column7" totalsRowFunction="sum" headerRowDxfId="2974" dataDxfId="2973" totalsRowDxfId="2972"/>
    <tableColumn id="8" xr3:uid="{73846FC8-40FE-4341-80EC-522F6DB82C15}" name="Column8" totalsRowFunction="sum" headerRowDxfId="2971" dataDxfId="2970" totalsRowDxfId="2969"/>
    <tableColumn id="9" xr3:uid="{B65DE4BF-43F6-4891-9219-2A5C11E83E0D}" name="Column9" totalsRowFunction="sum" headerRowDxfId="2968" dataDxfId="2967" totalsRowDxfId="2966">
      <calculatedColumnFormula>Engineering[[#This Row],[Column7]]-Engineering[[#This Row],[Column8]]</calculatedColumnFormula>
    </tableColumn>
    <tableColumn id="10" xr3:uid="{44C73C03-7F19-4EAF-BD6E-D72DFF2CEF3C}" name="Column10" totalsRowFunction="custom" headerRowDxfId="2965" dataDxfId="2964" totalsRowDxfId="2963">
      <calculatedColumnFormula>IFERROR(J12/I12,0)</calculatedColumnFormula>
      <totalsRowFormula>IFERROR(J17/I17,0)</totalsRowFormula>
    </tableColumn>
    <tableColumn id="11" xr3:uid="{88C49D32-B2FA-45AF-A1DA-43C2416C80DA}" name="Column11" totalsRowFunction="sum" headerRowDxfId="2962" dataDxfId="2961" totalsRowDxfId="2960"/>
    <tableColumn id="12" xr3:uid="{DBB59013-831E-4C23-8792-978C5D4B8F2C}" name="Column12" totalsRowFunction="sum" headerRowDxfId="2959" dataDxfId="2958" totalsRowDxfId="2957"/>
    <tableColumn id="13" xr3:uid="{6DE14E70-829C-4463-9CBC-CE532BE38E9D}" name="Column13" totalsRowFunction="sum" headerRowDxfId="2956" dataDxfId="2955" totalsRowDxfId="2954">
      <calculatedColumnFormula>Engineering[[#This Row],[Column11]]-Engineering[[#This Row],[Column12]]</calculatedColumnFormula>
    </tableColumn>
    <tableColumn id="14" xr3:uid="{78EF53FE-0AEC-4A42-BAA2-559929C4C371}" name="Column14" totalsRowFunction="custom" headerRowDxfId="2953" dataDxfId="2952" totalsRowDxfId="2951">
      <calculatedColumnFormula>IFERROR(N12/M12,0)</calculatedColumnFormula>
      <totalsRowFormula>IFERROR(N17/M17,0)</totalsRowFormula>
    </tableColumn>
    <tableColumn id="15" xr3:uid="{37E53C7D-6B80-4977-933F-0D7B14B66483}" name="Column15" totalsRowFunction="sum" headerRowDxfId="2950" dataDxfId="2949" totalsRowDxfId="2948"/>
    <tableColumn id="16" xr3:uid="{3DD8EFC7-A492-42B1-9C80-E45B14114D9B}" name="Column16" totalsRowFunction="sum" headerRowDxfId="2947" dataDxfId="2946" totalsRowDxfId="2945"/>
    <tableColumn id="17" xr3:uid="{1C143941-A868-4BFC-8A7F-B079E9D2E547}" name="Column17" totalsRowFunction="sum" headerRowDxfId="2944" dataDxfId="2943" totalsRowDxfId="2942">
      <calculatedColumnFormula>Engineering[[#This Row],[Column15]]-Engineering[[#This Row],[Column16]]</calculatedColumnFormula>
    </tableColumn>
  </tableColumns>
  <tableStyleInfo name="TableStyleMedium2"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CCC307E-F071-4D0C-B004-FE70EB432035}" name="Engineering688187" displayName="Engineering688187" ref="C75:S80" headerRowCount="0" totalsRowCount="1" headerRowDxfId="2501" dataDxfId="2500" totalsRowDxfId="2498" tableBorderDxfId="2499">
  <tableColumns count="17">
    <tableColumn id="1" xr3:uid="{42176206-2DF3-48F6-AC53-62195D984BA1}" name="Column1" headerRowDxfId="2497" dataDxfId="2496" totalsRowDxfId="2495"/>
    <tableColumn id="2" xr3:uid="{155A3E3A-864F-44C0-A08E-6C2E10206FAB}" name="Column2" headerRowDxfId="2494" dataDxfId="2493" totalsRowDxfId="2492"/>
    <tableColumn id="3" xr3:uid="{EAAF1F7E-7F6C-41D7-AD9D-15F71582C50E}" name="Column3" headerRowDxfId="2491" dataDxfId="2490" totalsRowDxfId="2489"/>
    <tableColumn id="4" xr3:uid="{FDF15C43-CAFC-411F-A31A-DF7C0B10382B}" name="Column4" headerRowDxfId="2488" dataDxfId="2487" totalsRowDxfId="2486"/>
    <tableColumn id="5" xr3:uid="{00B9B4E0-E67B-4FB3-9650-02E797EC73C9}" name="Column5" headerRowDxfId="2485" dataDxfId="2484" totalsRowDxfId="2483"/>
    <tableColumn id="6" xr3:uid="{B0F488ED-42EE-4270-8F1C-C34EC659C464}" name="Column6" headerRowDxfId="2482" dataDxfId="2481" totalsRowDxfId="2480"/>
    <tableColumn id="7" xr3:uid="{7B77B3BB-E1AF-4A7B-A43B-CE8DD5A02ABE}" name="Column7" totalsRowFunction="sum" headerRowDxfId="2479" dataDxfId="2478" totalsRowDxfId="2477"/>
    <tableColumn id="8" xr3:uid="{F98B2C3D-C3DE-4569-A8EA-0382827EFCF6}" name="Column8" totalsRowFunction="sum" headerRowDxfId="2476" dataDxfId="2475" totalsRowDxfId="2474"/>
    <tableColumn id="9" xr3:uid="{B7F24106-6102-448A-91F1-4D7DFA9566FD}" name="Column9" totalsRowFunction="sum" headerRowDxfId="2473" dataDxfId="2472" totalsRowDxfId="2471">
      <calculatedColumnFormula>Engineering688187[[#This Row],[Column7]]-Engineering688187[[#This Row],[Column8]]</calculatedColumnFormula>
    </tableColumn>
    <tableColumn id="10" xr3:uid="{BF56A11F-312B-447E-B58A-42C470BB0D77}" name="Column10" totalsRowFunction="custom" headerRowDxfId="2470" dataDxfId="2469" totalsRowDxfId="2468">
      <calculatedColumnFormula>IFERROR(J77/I77,0)</calculatedColumnFormula>
      <totalsRowFormula>IFERROR(J80/I80,0)</totalsRowFormula>
    </tableColumn>
    <tableColumn id="11" xr3:uid="{A9F54CB2-B67E-43C6-8AFB-8FB2281EC907}" name="Column11" totalsRowFunction="sum" headerRowDxfId="2467" dataDxfId="2466" totalsRowDxfId="2465"/>
    <tableColumn id="12" xr3:uid="{EEE6A322-65D6-4C9D-B6C4-32D3CC9204A4}" name="Column12" totalsRowFunction="sum" headerRowDxfId="2464" dataDxfId="2463" totalsRowDxfId="2462"/>
    <tableColumn id="13" xr3:uid="{0E0FF537-CCC1-49C2-BF56-6748FC380718}" name="Column13" totalsRowFunction="sum" headerRowDxfId="2461" dataDxfId="2460" totalsRowDxfId="2459">
      <calculatedColumnFormula>Engineering688187[[#This Row],[Column11]]-Engineering688187[[#This Row],[Column12]]</calculatedColumnFormula>
    </tableColumn>
    <tableColumn id="14" xr3:uid="{2189B2F7-EA76-43A2-A077-6A0EE3FAF6D7}" name="Column14" totalsRowFunction="custom" headerRowDxfId="2458" dataDxfId="2457" totalsRowDxfId="2456">
      <calculatedColumnFormula>IFERROR(N77/M77,0)</calculatedColumnFormula>
      <totalsRowFormula>IFERROR(N80/M80,0)</totalsRowFormula>
    </tableColumn>
    <tableColumn id="15" xr3:uid="{A6D9C853-4C27-4C21-B507-D4910BAC4602}" name="Column15" totalsRowFunction="sum" headerRowDxfId="2455" dataDxfId="2454" totalsRowDxfId="2453"/>
    <tableColumn id="16" xr3:uid="{8540D0C3-07EC-4161-ACA6-67597FC78C50}" name="Column16" totalsRowFunction="sum" headerRowDxfId="2452" dataDxfId="2451" totalsRowDxfId="2450"/>
    <tableColumn id="17" xr3:uid="{354DA790-7984-4FD9-8350-F41A86F9E649}" name="Column17" totalsRowFunction="sum" headerRowDxfId="2449" dataDxfId="2448" totalsRowDxfId="2447">
      <calculatedColumnFormula>Engineering688187[[#This Row],[Column15]]-Engineering688187[[#This Row],[Column16]]</calculatedColumnFormula>
    </tableColumn>
  </tableColumns>
  <tableStyleInfo name="TableStyleMedium2"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9D3F773-3E74-4387-98DC-00148F754082}" name="Engineering688188" displayName="Engineering688188" ref="C82:S87" headerRowCount="0" totalsRowCount="1" headerRowDxfId="2446" dataDxfId="2445" totalsRowDxfId="2443" tableBorderDxfId="2444">
  <tableColumns count="17">
    <tableColumn id="1" xr3:uid="{BBCA4690-2534-4771-BC56-15C76815CFF4}" name="Column1" headerRowDxfId="2442" dataDxfId="2441" totalsRowDxfId="2440"/>
    <tableColumn id="2" xr3:uid="{C9991EBE-CB9E-47A7-BDD1-72764CD5BFF1}" name="Column2" headerRowDxfId="2439" dataDxfId="2438" totalsRowDxfId="2437"/>
    <tableColumn id="3" xr3:uid="{823F9C30-D5A3-4CCF-BD69-5BE39F57BFE0}" name="Column3" headerRowDxfId="2436" dataDxfId="2435" totalsRowDxfId="2434"/>
    <tableColumn id="4" xr3:uid="{5BC828D1-57DB-4FA5-A511-C3DBEE248F9C}" name="Column4" headerRowDxfId="2433" dataDxfId="2432" totalsRowDxfId="2431"/>
    <tableColumn id="5" xr3:uid="{2262A7A8-D47C-4330-8F9F-84F519A02A5F}" name="Column5" headerRowDxfId="2430" dataDxfId="2429" totalsRowDxfId="2428"/>
    <tableColumn id="6" xr3:uid="{911A1592-5043-45EB-ACFA-5E99A74B1A43}" name="Column6" headerRowDxfId="2427" dataDxfId="2426" totalsRowDxfId="2425"/>
    <tableColumn id="7" xr3:uid="{A84B25E2-9736-4C37-B976-AEBA621BE001}" name="Column7" totalsRowFunction="sum" headerRowDxfId="2424" dataDxfId="2423" totalsRowDxfId="2422"/>
    <tableColumn id="8" xr3:uid="{6FAA3767-031D-4791-B56F-946FA2437D87}" name="Column8" totalsRowFunction="sum" headerRowDxfId="2421" dataDxfId="2420" totalsRowDxfId="2419"/>
    <tableColumn id="9" xr3:uid="{8B608E46-831D-47D1-B093-4F69AAEF5624}" name="Column9" totalsRowFunction="sum" headerRowDxfId="2418" dataDxfId="2417" totalsRowDxfId="2416">
      <calculatedColumnFormula>Engineering688188[[#This Row],[Column7]]-Engineering688188[[#This Row],[Column8]]</calculatedColumnFormula>
    </tableColumn>
    <tableColumn id="10" xr3:uid="{CC1374B9-2356-4CB6-902D-21A4857C63CE}" name="Column10" totalsRowFunction="custom" headerRowDxfId="2415" dataDxfId="2414" totalsRowDxfId="2413">
      <calculatedColumnFormula>IFERROR(J84/I84,0)</calculatedColumnFormula>
      <totalsRowFormula>IFERROR(J87/I87,0)</totalsRowFormula>
    </tableColumn>
    <tableColumn id="11" xr3:uid="{B2B51346-1D5A-463B-A324-5E7F4D5B5CD5}" name="Column11" totalsRowFunction="sum" headerRowDxfId="2412" dataDxfId="2411" totalsRowDxfId="2410"/>
    <tableColumn id="12" xr3:uid="{C6BC1BC9-9E7E-424D-B1AF-5C641C897D87}" name="Column12" totalsRowFunction="sum" headerRowDxfId="2409" dataDxfId="2408" totalsRowDxfId="2407"/>
    <tableColumn id="13" xr3:uid="{4E8CA5FA-E960-4015-BA38-D350A8F499D2}" name="Column13" totalsRowFunction="sum" headerRowDxfId="2406" dataDxfId="2405" totalsRowDxfId="2404">
      <calculatedColumnFormula>Engineering688188[[#This Row],[Column11]]-Engineering688188[[#This Row],[Column12]]</calculatedColumnFormula>
    </tableColumn>
    <tableColumn id="14" xr3:uid="{185FE65F-E585-407A-907A-01CC470C932B}" name="Column14" totalsRowFunction="custom" headerRowDxfId="2403" dataDxfId="2402" totalsRowDxfId="2401">
      <calculatedColumnFormula>IFERROR(N84/M84,0)</calculatedColumnFormula>
      <totalsRowFormula>IFERROR(N87/M87,0)</totalsRowFormula>
    </tableColumn>
    <tableColumn id="15" xr3:uid="{65797813-0EDA-4D20-90E9-CCBE3434C883}" name="Column15" totalsRowFunction="sum" headerRowDxfId="2400" dataDxfId="2399" totalsRowDxfId="2398"/>
    <tableColumn id="16" xr3:uid="{5AC3837B-B033-45A4-823E-274AB83978E6}" name="Column16" totalsRowFunction="sum" headerRowDxfId="2397" dataDxfId="2396" totalsRowDxfId="2395"/>
    <tableColumn id="17" xr3:uid="{6B1A8FAF-D73F-42E7-945C-72116FF7DCA5}" name="Column17" totalsRowFunction="sum" headerRowDxfId="2394" dataDxfId="2393" totalsRowDxfId="2392">
      <calculatedColumnFormula>Engineering688188[[#This Row],[Column15]]-Engineering688188[[#This Row],[Column16]]</calculatedColumnFormula>
    </tableColumn>
  </tableColumns>
  <tableStyleInfo name="TableStyleMedium2"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F423C5D-E425-4C39-B5EA-AE7BFDC66B6A}" name="Engineering68818889" displayName="Engineering68818889" ref="C89:S94" headerRowCount="0" totalsRowCount="1" headerRowDxfId="2391" dataDxfId="2390" totalsRowDxfId="2388" tableBorderDxfId="2389">
  <tableColumns count="17">
    <tableColumn id="1" xr3:uid="{FD3A0FE5-C5EF-40FC-93A4-FCBD77DD7BC3}" name="Column1" headerRowDxfId="2387" dataDxfId="2386" totalsRowDxfId="2385"/>
    <tableColumn id="2" xr3:uid="{421B9DBB-21F5-4A59-B0A2-B54D01A7C82B}" name="Column2" headerRowDxfId="2384" dataDxfId="2383" totalsRowDxfId="2382"/>
    <tableColumn id="3" xr3:uid="{2C01F29C-CBF0-4BFA-882A-6425450CFBEC}" name="Column3" headerRowDxfId="2381" dataDxfId="2380" totalsRowDxfId="2379"/>
    <tableColumn id="4" xr3:uid="{EEF786BD-23F8-4E47-A418-3459E11B1B49}" name="Column4" headerRowDxfId="2378" dataDxfId="2377" totalsRowDxfId="2376"/>
    <tableColumn id="5" xr3:uid="{E2842FF5-8597-4BEA-9CE5-3BB24D4CDE20}" name="Column5" headerRowDxfId="2375" dataDxfId="2374" totalsRowDxfId="2373"/>
    <tableColumn id="6" xr3:uid="{E9ECAF3A-7E14-4D01-ACAD-1EC84E076129}" name="Column6" headerRowDxfId="2372" dataDxfId="2371" totalsRowDxfId="2370"/>
    <tableColumn id="7" xr3:uid="{C1E3A9E9-B1FE-4EA6-BBBE-90182EB54EA9}" name="Column7" totalsRowFunction="sum" headerRowDxfId="2369" dataDxfId="2368" totalsRowDxfId="2367"/>
    <tableColumn id="8" xr3:uid="{D15A73E0-3AAA-4C76-B014-233D986B8215}" name="Column8" totalsRowFunction="sum" headerRowDxfId="2366" dataDxfId="2365" totalsRowDxfId="2364"/>
    <tableColumn id="9" xr3:uid="{0DB15266-F0EB-409F-837E-824EF096A93F}" name="Column9" totalsRowFunction="sum" headerRowDxfId="2363" dataDxfId="2362" totalsRowDxfId="2361">
      <calculatedColumnFormula>Engineering68818889[[#This Row],[Column7]]-Engineering68818889[[#This Row],[Column8]]</calculatedColumnFormula>
    </tableColumn>
    <tableColumn id="10" xr3:uid="{A6CA3012-FC64-41AC-9B43-47B656D9B6B1}" name="Column10" totalsRowFunction="custom" headerRowDxfId="2360" dataDxfId="2359" totalsRowDxfId="2358">
      <calculatedColumnFormula>IFERROR(J91/I91,0)</calculatedColumnFormula>
      <totalsRowFormula>IFERROR(J94/I94,0)</totalsRowFormula>
    </tableColumn>
    <tableColumn id="11" xr3:uid="{018EE8AA-E73A-429A-B405-3CE6D578537F}" name="Column11" totalsRowFunction="sum" headerRowDxfId="2357" dataDxfId="2356" totalsRowDxfId="2355"/>
    <tableColumn id="12" xr3:uid="{AB085FB6-77A7-45C8-86C2-06CE998CCF34}" name="Column12" totalsRowFunction="sum" headerRowDxfId="2354" dataDxfId="2353" totalsRowDxfId="2352"/>
    <tableColumn id="13" xr3:uid="{944D18FD-1090-4334-897C-9CB9F7450D6C}" name="Column13" totalsRowFunction="sum" headerRowDxfId="2351" dataDxfId="2350" totalsRowDxfId="2349">
      <calculatedColumnFormula>Engineering68818889[[#This Row],[Column11]]-Engineering68818889[[#This Row],[Column12]]</calculatedColumnFormula>
    </tableColumn>
    <tableColumn id="14" xr3:uid="{15556D16-3C51-4439-9479-C793E41A4FCD}" name="Column14" totalsRowFunction="custom" headerRowDxfId="2348" dataDxfId="2347" totalsRowDxfId="2346">
      <calculatedColumnFormula>IFERROR(N91/M91,0)</calculatedColumnFormula>
      <totalsRowFormula>IFERROR(N94/M94,0)</totalsRowFormula>
    </tableColumn>
    <tableColumn id="15" xr3:uid="{6912E61C-F759-47B3-99AD-B0F1E7C5326B}" name="Column15" totalsRowFunction="sum" headerRowDxfId="2345" dataDxfId="2344" totalsRowDxfId="2343"/>
    <tableColumn id="16" xr3:uid="{B5287C4E-ED27-4899-AECC-9FBF8C720A31}" name="Column16" totalsRowFunction="sum" headerRowDxfId="2342" dataDxfId="2341" totalsRowDxfId="2340"/>
    <tableColumn id="17" xr3:uid="{DC60B6D1-4F56-4BEE-ADF7-31A33C37FDE8}" name="Column17" totalsRowFunction="sum" headerRowDxfId="2339" dataDxfId="2338" totalsRowDxfId="2337">
      <calculatedColumnFormula>Engineering68818889[[#This Row],[Column15]]-Engineering68818889[[#This Row],[Column16]]</calculatedColumnFormula>
    </tableColumn>
  </tableColumns>
  <tableStyleInfo name="TableStyleMedium2"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7189205-CF7C-4872-9150-B774714B88C2}" name="Engineering68818890" displayName="Engineering68818890" ref="C96:S101" headerRowCount="0" totalsRowCount="1" headerRowDxfId="2336" dataDxfId="2335" totalsRowDxfId="2333" tableBorderDxfId="2334">
  <tableColumns count="17">
    <tableColumn id="1" xr3:uid="{3D71944A-08CA-43A7-BCB4-384B23B83D8E}" name="Column1" headerRowDxfId="2332" dataDxfId="2331" totalsRowDxfId="2330"/>
    <tableColumn id="2" xr3:uid="{47F9D910-6215-4465-A48E-808DCF6D7811}" name="Column2" headerRowDxfId="2329" dataDxfId="2328" totalsRowDxfId="2327"/>
    <tableColumn id="3" xr3:uid="{85D5E979-FC79-4D84-AE19-F003CF6021E0}" name="Column3" headerRowDxfId="2326" dataDxfId="2325" totalsRowDxfId="2324"/>
    <tableColumn id="4" xr3:uid="{5C6229E4-BB83-46BC-9D0A-B7166F14E4EB}" name="Column4" headerRowDxfId="2323" dataDxfId="2322" totalsRowDxfId="2321"/>
    <tableColumn id="5" xr3:uid="{825207C0-F9E9-479B-AFE5-EE7595CEF986}" name="Column5" headerRowDxfId="2320" dataDxfId="2319" totalsRowDxfId="2318"/>
    <tableColumn id="6" xr3:uid="{76458415-CFAC-4AE0-BF46-40BC3B6A277C}" name="Column6" headerRowDxfId="2317" dataDxfId="2316" totalsRowDxfId="2315"/>
    <tableColumn id="7" xr3:uid="{55E25F4E-412E-4C95-992F-30371BF2E5A9}" name="Column7" totalsRowFunction="sum" headerRowDxfId="2314" dataDxfId="2313" totalsRowDxfId="2312"/>
    <tableColumn id="8" xr3:uid="{5E83A4EE-C904-41F4-818B-DE7B0D9670AF}" name="Column8" totalsRowFunction="sum" headerRowDxfId="2311" dataDxfId="2310" totalsRowDxfId="2309"/>
    <tableColumn id="9" xr3:uid="{E30F39DE-3409-49B1-AE29-1C9BF090962A}" name="Column9" totalsRowFunction="min" headerRowDxfId="2308" dataDxfId="2307" totalsRowDxfId="2306">
      <calculatedColumnFormula>Engineering68818890[[#This Row],[Column7]]-Engineering68818890[[#This Row],[Column8]]</calculatedColumnFormula>
    </tableColumn>
    <tableColumn id="10" xr3:uid="{1A54FFD2-2315-4142-B791-0691D1A79F30}" name="Column10" totalsRowFunction="custom" headerRowDxfId="2305" dataDxfId="2304" totalsRowDxfId="2303">
      <calculatedColumnFormula>IFERROR(J98/I98,0)</calculatedColumnFormula>
      <totalsRowFormula>IFERROR(J101/I101,0)</totalsRowFormula>
    </tableColumn>
    <tableColumn id="11" xr3:uid="{FE885D92-DF26-43E6-B5AE-DBD8E2E80837}" name="Column11" totalsRowFunction="sum" headerRowDxfId="2302" dataDxfId="2301" totalsRowDxfId="2300"/>
    <tableColumn id="12" xr3:uid="{F79C8850-46A2-47BB-8DC5-5438FF2F8FA1}" name="Column12" totalsRowFunction="min" headerRowDxfId="2299" dataDxfId="2298" totalsRowDxfId="2297"/>
    <tableColumn id="13" xr3:uid="{A612A7C8-EF3C-4E09-AAA2-363F3F103303}" name="Column13" totalsRowFunction="sum" headerRowDxfId="2296" dataDxfId="2295" totalsRowDxfId="2294">
      <calculatedColumnFormula>Engineering68818890[[#This Row],[Column11]]-Engineering68818890[[#This Row],[Column12]]</calculatedColumnFormula>
    </tableColumn>
    <tableColumn id="14" xr3:uid="{770CD854-48B5-455D-B99F-019DF039EA1D}" name="Column14" totalsRowFunction="custom" headerRowDxfId="2293" dataDxfId="2292" totalsRowDxfId="2291">
      <calculatedColumnFormula>IFERROR(N98/M98,0)</calculatedColumnFormula>
      <totalsRowFormula>IFERROR(N101/M101,0)</totalsRowFormula>
    </tableColumn>
    <tableColumn id="15" xr3:uid="{EACE0419-314C-4F76-BE22-A9974D64624D}" name="Column15" totalsRowFunction="sum" headerRowDxfId="2290" dataDxfId="2289" totalsRowDxfId="2288"/>
    <tableColumn id="16" xr3:uid="{7B54A489-8067-4210-81F6-4A27AE9A26DE}" name="Column16" totalsRowFunction="sum" headerRowDxfId="2287" dataDxfId="2286" totalsRowDxfId="2285"/>
    <tableColumn id="17" xr3:uid="{63F44025-93B0-40DE-B2EC-06EA54695E78}" name="Column17" totalsRowFunction="sum" headerRowDxfId="2284" dataDxfId="2283" totalsRowDxfId="2282">
      <calculatedColumnFormula>Engineering68818890[[#This Row],[Column15]]-Engineering68818890[[#This Row],[Column16]]</calculatedColumnFormula>
    </tableColumn>
  </tableColumns>
  <tableStyleInfo name="TableStyleMedium2"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F3F2097-D3C1-47C6-9DD0-5C1DDCD14E3E}" name="Engineering68818891" displayName="Engineering68818891" ref="C103:S109" headerRowCount="0" totalsRowCount="1" headerRowDxfId="2281" dataDxfId="2280" totalsRowDxfId="2278" tableBorderDxfId="2279">
  <tableColumns count="17">
    <tableColumn id="1" xr3:uid="{F769326A-26D7-4A01-B715-5CB8210B57DA}" name="Column1" headerRowDxfId="2277" dataDxfId="2276" totalsRowDxfId="2275"/>
    <tableColumn id="2" xr3:uid="{91F28111-BF79-4116-9AEA-FC3DB0725453}" name="Column2" headerRowDxfId="2274" dataDxfId="2273" totalsRowDxfId="2272"/>
    <tableColumn id="3" xr3:uid="{D3D5A5A8-5DD3-4528-B303-F7F88DDDF8C2}" name="Column3" headerRowDxfId="2271" dataDxfId="2270" totalsRowDxfId="2269"/>
    <tableColumn id="4" xr3:uid="{6578F957-DA6F-4D0A-A679-B483ABBC0823}" name="Column4" headerRowDxfId="2268" dataDxfId="2267" totalsRowDxfId="2266"/>
    <tableColumn id="5" xr3:uid="{07042D39-897F-4337-BC9A-79834F8F95C6}" name="Column5" headerRowDxfId="2265" dataDxfId="2264" totalsRowDxfId="2263"/>
    <tableColumn id="6" xr3:uid="{12571F80-256B-4556-B887-45BA3E1B7972}" name="Column6" headerRowDxfId="2262" dataDxfId="2261" totalsRowDxfId="2260"/>
    <tableColumn id="7" xr3:uid="{542A13CF-8F03-40AA-A5F5-46CBD4CB4A4A}" name="Column7" totalsRowFunction="sum" headerRowDxfId="2259" dataDxfId="2258" totalsRowDxfId="2257"/>
    <tableColumn id="8" xr3:uid="{8A5583E9-2F93-40E9-B342-A3D18A5B0B7A}" name="Column8" totalsRowFunction="sum" headerRowDxfId="2256" dataDxfId="2255" totalsRowDxfId="2254"/>
    <tableColumn id="9" xr3:uid="{36E39528-8F5F-4707-8953-A94AACBFA8B1}" name="Column9" totalsRowFunction="sum" headerRowDxfId="2253" dataDxfId="2252" totalsRowDxfId="2251">
      <calculatedColumnFormula>Engineering68818891[[#This Row],[Column7]]-Engineering68818891[[#This Row],[Column8]]</calculatedColumnFormula>
    </tableColumn>
    <tableColumn id="10" xr3:uid="{6B584320-BC38-4497-BE22-4A07F7D306FF}" name="Column10" totalsRowFunction="custom" headerRowDxfId="2250" dataDxfId="2249" totalsRowDxfId="2248">
      <calculatedColumnFormula>IFERROR(J106/I106,0)</calculatedColumnFormula>
      <totalsRowFormula>IFERROR(J109/I109,0)</totalsRowFormula>
    </tableColumn>
    <tableColumn id="11" xr3:uid="{C250B561-C41F-41BD-9CE8-553D81F64F16}" name="Column11" totalsRowFunction="sum" headerRowDxfId="2247" dataDxfId="2246" totalsRowDxfId="2245"/>
    <tableColumn id="12" xr3:uid="{F6FD4611-D466-4CA0-B06A-405FEEC7C811}" name="Column12" totalsRowFunction="sum" headerRowDxfId="2244" dataDxfId="2243" totalsRowDxfId="2242"/>
    <tableColumn id="13" xr3:uid="{89751408-6C4D-4F56-B15E-D7D1A9207921}" name="Column13" totalsRowFunction="sum" headerRowDxfId="2241" dataDxfId="2240" totalsRowDxfId="2239">
      <calculatedColumnFormula>Engineering68818891[[#This Row],[Column11]]-Engineering68818891[[#This Row],[Column12]]</calculatedColumnFormula>
    </tableColumn>
    <tableColumn id="14" xr3:uid="{F55CA453-442F-41C7-A2E2-F429BE06B9B0}" name="Column14" totalsRowFunction="custom" headerRowDxfId="2238" dataDxfId="2237" totalsRowDxfId="2236">
      <calculatedColumnFormula>IFERROR(N106/M106,0)</calculatedColumnFormula>
      <totalsRowFormula>IFERROR(N109/M109,0)</totalsRowFormula>
    </tableColumn>
    <tableColumn id="15" xr3:uid="{8F0ACA86-5A18-48DE-9838-56D245DCE02E}" name="Column15" totalsRowFunction="sum" headerRowDxfId="2235" dataDxfId="2234" totalsRowDxfId="2233"/>
    <tableColumn id="16" xr3:uid="{84BF9D55-E589-459D-9B3C-22B90CB5E7B9}" name="Column16" totalsRowFunction="sum" headerRowDxfId="2232" dataDxfId="2231" totalsRowDxfId="2230"/>
    <tableColumn id="17" xr3:uid="{1725139B-B12B-41AC-9A5D-5B6C964A420A}" name="Column17" totalsRowFunction="sum" headerRowDxfId="2229" dataDxfId="2228" totalsRowDxfId="2227">
      <calculatedColumnFormula>Engineering68818891[[#This Row],[Column15]]-Engineering68818891[[#This Row],[Column16]]</calculatedColumnFormula>
    </tableColumn>
  </tableColumns>
  <tableStyleInfo name="TableStyleMedium2"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8733908-C12A-4978-828C-3416F4A5A414}" name="Engineering68818892" displayName="Engineering68818892" ref="C111:S116" headerRowCount="0" totalsRowCount="1" headerRowDxfId="2226" dataDxfId="2225" totalsRowDxfId="2223" tableBorderDxfId="2224">
  <tableColumns count="17">
    <tableColumn id="1" xr3:uid="{003813A9-1010-4CDB-B3E9-7E6EDC475E45}" name="Column1" headerRowDxfId="2222" dataDxfId="2221" totalsRowDxfId="2220"/>
    <tableColumn id="2" xr3:uid="{B3C5C8E3-0035-4431-94D1-ECE2ECBE7F08}" name="Column2" headerRowDxfId="2219" dataDxfId="2218" totalsRowDxfId="2217"/>
    <tableColumn id="3" xr3:uid="{85E53812-7800-49F2-AA3B-6AB30CB9A92F}" name="Column3" headerRowDxfId="2216" dataDxfId="2215" totalsRowDxfId="2214"/>
    <tableColumn id="4" xr3:uid="{F6A85B42-0AA1-4882-81C7-38A6BFC1FA15}" name="Column4" headerRowDxfId="2213" dataDxfId="2212" totalsRowDxfId="2211"/>
    <tableColumn id="5" xr3:uid="{0F5AD0EB-6FC1-48D0-AD21-345E332CB58A}" name="Column5" headerRowDxfId="2210" dataDxfId="2209" totalsRowDxfId="2208"/>
    <tableColumn id="6" xr3:uid="{BB581CD8-A09B-4BD9-979B-1B70898613FD}" name="Column6" headerRowDxfId="2207" dataDxfId="2206" totalsRowDxfId="2205"/>
    <tableColumn id="7" xr3:uid="{7EAE4C0E-9EAD-429B-A260-6D8A3B910A25}" name="Column7" totalsRowFunction="sum" headerRowDxfId="2204" dataDxfId="2203" totalsRowDxfId="2202"/>
    <tableColumn id="8" xr3:uid="{BA6F81F3-9C8B-475E-9144-1AE69508D463}" name="Column8" totalsRowFunction="sum" headerRowDxfId="2201" dataDxfId="2200" totalsRowDxfId="2199"/>
    <tableColumn id="9" xr3:uid="{8CAB4C94-5496-4144-A834-AB7A187C0975}" name="Column9" totalsRowFunction="sum" headerRowDxfId="2198" dataDxfId="2197" totalsRowDxfId="2196">
      <calculatedColumnFormula>Engineering68818892[[#This Row],[Column7]]-Engineering68818892[[#This Row],[Column8]]</calculatedColumnFormula>
    </tableColumn>
    <tableColumn id="10" xr3:uid="{79F2DDA1-020B-401C-A3E0-27724BC57401}" name="Column10" totalsRowFunction="custom" headerRowDxfId="2195" dataDxfId="2194" totalsRowDxfId="2193">
      <calculatedColumnFormula>IFERROR(J113/I113,0)</calculatedColumnFormula>
      <totalsRowFormula>IFERROR(J116/I116,0)</totalsRowFormula>
    </tableColumn>
    <tableColumn id="11" xr3:uid="{AFC853BD-FFE9-45D6-9CEC-BF9783BF93BB}" name="Column11" totalsRowFunction="sum" headerRowDxfId="2192" dataDxfId="2191" totalsRowDxfId="2190"/>
    <tableColumn id="12" xr3:uid="{2007E3BB-0582-4ABD-8972-E786666869FC}" name="Column12" totalsRowFunction="sum" headerRowDxfId="2189" dataDxfId="2188" totalsRowDxfId="2187"/>
    <tableColumn id="13" xr3:uid="{8F976976-EAC8-4812-B338-25CE01E94B2A}" name="Column13" totalsRowFunction="sum" headerRowDxfId="2186" dataDxfId="2185" totalsRowDxfId="2184">
      <calculatedColumnFormula>Engineering68818892[[#This Row],[Column11]]-Engineering68818892[[#This Row],[Column12]]</calculatedColumnFormula>
    </tableColumn>
    <tableColumn id="14" xr3:uid="{AD7AB572-8863-4FCE-9C36-3ABF8FF05BA2}" name="Column14" totalsRowFunction="custom" headerRowDxfId="2183" dataDxfId="2182" totalsRowDxfId="2181">
      <calculatedColumnFormula>IFERROR(N113/M113,0)</calculatedColumnFormula>
      <totalsRowFormula>IFERROR(N116/M116,0)</totalsRowFormula>
    </tableColumn>
    <tableColumn id="15" xr3:uid="{09D9E58A-C806-4DA6-BBBD-04E6EF1237F0}" name="Column15" totalsRowFunction="sum" headerRowDxfId="2180" dataDxfId="2179" totalsRowDxfId="2178"/>
    <tableColumn id="16" xr3:uid="{88875B50-756C-4665-82B8-B5AFDE4482B9}" name="Column16" totalsRowFunction="sum" headerRowDxfId="2177" dataDxfId="2176" totalsRowDxfId="2175"/>
    <tableColumn id="17" xr3:uid="{ED5C9E6E-B5A8-48B1-8D92-E90F92311A7E}" name="Column17" totalsRowFunction="sum" headerRowDxfId="2174" dataDxfId="2173" totalsRowDxfId="2172">
      <calculatedColumnFormula>Engineering68818892[[#This Row],[Column15]]-Engineering68818892[[#This Row],[Column16]]</calculatedColumnFormula>
    </tableColumn>
  </tableColumns>
  <tableStyleInfo name="TableStyleMedium2"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4A96BEE-65E1-4398-8CF6-EDDDE32923E9}" name="Engineering6881889293" displayName="Engineering6881889293" ref="C118:S123" headerRowCount="0" totalsRowCount="1" headerRowDxfId="2171" dataDxfId="2170" totalsRowDxfId="2168" tableBorderDxfId="2169">
  <tableColumns count="17">
    <tableColumn id="1" xr3:uid="{98AD8816-60DF-4ECC-A527-24C733342DAC}" name="Column1" headerRowDxfId="2167" dataDxfId="2166" totalsRowDxfId="2165"/>
    <tableColumn id="2" xr3:uid="{F24B3FB9-066E-45EB-AD9E-86687F736611}" name="Column2" headerRowDxfId="2164" dataDxfId="2163" totalsRowDxfId="2162"/>
    <tableColumn id="3" xr3:uid="{4E4637E5-A2F4-41F0-B5DC-461A09A126CF}" name="Column3" headerRowDxfId="2161" dataDxfId="2160" totalsRowDxfId="2159"/>
    <tableColumn id="4" xr3:uid="{C44B6ED8-2C89-4B2A-B20D-E48F6A897A43}" name="Column4" headerRowDxfId="2158" dataDxfId="2157" totalsRowDxfId="2156"/>
    <tableColumn id="5" xr3:uid="{F3A3AB27-AE2D-4330-B618-926017519E59}" name="Column5" headerRowDxfId="2155" dataDxfId="2154" totalsRowDxfId="2153"/>
    <tableColumn id="6" xr3:uid="{5292BEA6-CFFD-4295-BBB3-AC153CB88C47}" name="Column6" headerRowDxfId="2152" dataDxfId="2151" totalsRowDxfId="2150"/>
    <tableColumn id="7" xr3:uid="{9A48A13D-946B-4AB0-AFC7-EA5EA708A20F}" name="Column7" totalsRowFunction="sum" headerRowDxfId="2149" dataDxfId="2148" totalsRowDxfId="2147"/>
    <tableColumn id="8" xr3:uid="{28261388-E7E2-4328-9F92-1FBDE20EC6A0}" name="Column8" totalsRowFunction="sum" headerRowDxfId="2146" dataDxfId="2145" totalsRowDxfId="2144"/>
    <tableColumn id="9" xr3:uid="{D5295EBE-9F8D-4E20-AB73-501ED1B00984}" name="Column9" totalsRowFunction="sum" headerRowDxfId="2143" dataDxfId="2142" totalsRowDxfId="2141">
      <calculatedColumnFormula>Engineering6881889293[[#This Row],[Column7]]-Engineering6881889293[[#This Row],[Column8]]</calculatedColumnFormula>
    </tableColumn>
    <tableColumn id="10" xr3:uid="{F9CA61D3-6EB2-4189-9A7C-B72576AF516C}" name="Column10" totalsRowFunction="custom" headerRowDxfId="2140" dataDxfId="2139" totalsRowDxfId="2138">
      <calculatedColumnFormula>IFERROR(J120/I120,0)</calculatedColumnFormula>
      <totalsRowFormula>IFERROR(J123/I123,0)</totalsRowFormula>
    </tableColumn>
    <tableColumn id="11" xr3:uid="{8D5AFE49-EB34-443F-B0F4-7B81F93E3266}" name="Column11" totalsRowFunction="sum" headerRowDxfId="2137" dataDxfId="2136" totalsRowDxfId="2135"/>
    <tableColumn id="12" xr3:uid="{0473F15E-43C3-4F64-B95B-13C470B2AC8E}" name="Column12" totalsRowFunction="sum" headerRowDxfId="2134" dataDxfId="2133" totalsRowDxfId="2132"/>
    <tableColumn id="13" xr3:uid="{0DA1BF51-E844-4DDB-8099-9AAAC6F809DE}" name="Column13" totalsRowFunction="sum" headerRowDxfId="2131" dataDxfId="2130" totalsRowDxfId="2129">
      <calculatedColumnFormula>Engineering6881889293[[#This Row],[Column11]]-Engineering6881889293[[#This Row],[Column12]]</calculatedColumnFormula>
    </tableColumn>
    <tableColumn id="14" xr3:uid="{22282C93-4019-42C0-BCDB-AC104819C811}" name="Column14" totalsRowFunction="custom" headerRowDxfId="2128" dataDxfId="2127" totalsRowDxfId="2126">
      <calculatedColumnFormula>IFERROR(N120/M120,0)</calculatedColumnFormula>
      <totalsRowFormula>IFERROR(N123/M123,0)</totalsRowFormula>
    </tableColumn>
    <tableColumn id="15" xr3:uid="{BDCE4B07-C3E4-4810-8A34-CFA815B80BFB}" name="Column15" totalsRowFunction="sum" headerRowDxfId="2125" dataDxfId="2124" totalsRowDxfId="2123"/>
    <tableColumn id="16" xr3:uid="{C1468328-A830-4639-B28E-816CA357C2E0}" name="Column16" totalsRowFunction="sum" headerRowDxfId="2122" dataDxfId="2121" totalsRowDxfId="2120"/>
    <tableColumn id="17" xr3:uid="{3C7AF2D4-F94C-43CF-82B6-51FD7F28A76D}" name="Column17" totalsRowFunction="sum" headerRowDxfId="2119" dataDxfId="2118" totalsRowDxfId="2117">
      <calculatedColumnFormula>Engineering6881889293[[#This Row],[Column15]]-Engineering6881889293[[#This Row],[Column16]]</calculatedColumnFormula>
    </tableColumn>
  </tableColumns>
  <tableStyleInfo name="TableStyleMedium2"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D20B9EE-DE32-4A6D-87A9-DA4F00A4073B}" name="Engineering6881889295" displayName="Engineering6881889295" ref="C125:S130" headerRowCount="0" totalsRowCount="1" headerRowDxfId="2116" dataDxfId="2115" totalsRowDxfId="2113" tableBorderDxfId="2114">
  <tableColumns count="17">
    <tableColumn id="1" xr3:uid="{92E28B7E-A70A-45B6-8F80-C1D5DE27E825}" name="Column1" headerRowDxfId="2112" dataDxfId="2111" totalsRowDxfId="2110"/>
    <tableColumn id="2" xr3:uid="{36214832-6F2B-445C-91B5-6A4E0CCC3324}" name="Column2" headerRowDxfId="2109" dataDxfId="2108" totalsRowDxfId="2107"/>
    <tableColumn id="3" xr3:uid="{5960B7AA-A09B-44E8-9360-9FAC144B9A57}" name="Column3" headerRowDxfId="2106" dataDxfId="2105" totalsRowDxfId="2104"/>
    <tableColumn id="4" xr3:uid="{6FBE8D2F-C054-4C7E-9993-3DEA22D44383}" name="Column4" headerRowDxfId="2103" dataDxfId="2102" totalsRowDxfId="2101"/>
    <tableColumn id="5" xr3:uid="{A3BF82FA-1DCC-4E23-B743-45624284A54C}" name="Column5" headerRowDxfId="2100" dataDxfId="2099" totalsRowDxfId="2098"/>
    <tableColumn id="6" xr3:uid="{DA2C9775-8957-4D24-89C9-2C2A2BE18C50}" name="Column6" headerRowDxfId="2097" dataDxfId="2096" totalsRowDxfId="2095"/>
    <tableColumn id="7" xr3:uid="{1594853D-B583-46E1-B77B-D9C18FF4D69C}" name="Column7" totalsRowFunction="sum" headerRowDxfId="2094" dataDxfId="2093" totalsRowDxfId="2092"/>
    <tableColumn id="8" xr3:uid="{BC67B635-0C41-48F7-959D-257770BF4F2D}" name="Column8" totalsRowFunction="sum" headerRowDxfId="2091" dataDxfId="2090" totalsRowDxfId="2089"/>
    <tableColumn id="9" xr3:uid="{75B699C5-1FD1-43FE-ADBC-BDF08374CE2F}" name="Column9" totalsRowFunction="sum" headerRowDxfId="2088" dataDxfId="2087" totalsRowDxfId="2086">
      <calculatedColumnFormula>Engineering6881889295[[#This Row],[Column7]]-Engineering6881889295[[#This Row],[Column8]]</calculatedColumnFormula>
    </tableColumn>
    <tableColumn id="10" xr3:uid="{027A69B2-4B17-4050-AC5A-6271A39F7AF7}" name="Column10" totalsRowFunction="custom" headerRowDxfId="2085" dataDxfId="2084" totalsRowDxfId="2083">
      <calculatedColumnFormula>IFERROR(J127/I127,0)</calculatedColumnFormula>
      <totalsRowFormula>IFERROR(J130/I130,0)</totalsRowFormula>
    </tableColumn>
    <tableColumn id="11" xr3:uid="{354296B5-A9B1-4290-BF82-12E1B0B8CC6C}" name="Column11" totalsRowFunction="sum" headerRowDxfId="2082" dataDxfId="2081" totalsRowDxfId="2080"/>
    <tableColumn id="12" xr3:uid="{F3DF5204-2995-4D38-A2FF-8CD2536CF593}" name="Column12" totalsRowFunction="sum" headerRowDxfId="2079" dataDxfId="2078" totalsRowDxfId="2077"/>
    <tableColumn id="13" xr3:uid="{8F88430F-E55D-455B-A8A0-FF0141D08F0B}" name="Column13" totalsRowFunction="sum" headerRowDxfId="2076" dataDxfId="2075" totalsRowDxfId="2074">
      <calculatedColumnFormula>Engineering6881889295[[#This Row],[Column11]]-Engineering6881889295[[#This Row],[Column12]]</calculatedColumnFormula>
    </tableColumn>
    <tableColumn id="14" xr3:uid="{835AA46C-2A9B-4C15-8A60-0035B663042C}" name="Column14" totalsRowFunction="custom" headerRowDxfId="2073" dataDxfId="2072" totalsRowDxfId="2071">
      <calculatedColumnFormula>IFERROR(N127/M127,0)</calculatedColumnFormula>
      <totalsRowFormula>IFERROR(N130/M130,0)</totalsRowFormula>
    </tableColumn>
    <tableColumn id="15" xr3:uid="{055ABE1D-1A42-4F43-930B-FA9B41D8C7F7}" name="Column15" totalsRowFunction="sum" headerRowDxfId="2070" dataDxfId="2069" totalsRowDxfId="2068"/>
    <tableColumn id="16" xr3:uid="{F725A134-766E-4E58-BE76-153D45525B3E}" name="Column16" totalsRowFunction="sum" headerRowDxfId="2067" dataDxfId="2066" totalsRowDxfId="2065"/>
    <tableColumn id="17" xr3:uid="{5A996F1F-0F1D-4E66-8178-7DF2C11B4E98}" name="Column17" totalsRowFunction="sum" headerRowDxfId="2064" dataDxfId="2063" totalsRowDxfId="2062">
      <calculatedColumnFormula>Engineering6881889295[[#This Row],[Column15]]-Engineering6881889295[[#This Row],[Column16]]</calculatedColumnFormula>
    </tableColumn>
  </tableColumns>
  <tableStyleInfo name="TableStyleMedium2"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FA2C8A2-CB24-4275-891F-7CF7E7C9C4D5}" name="Engineering6881889296" displayName="Engineering6881889296" ref="C132:S137" headerRowCount="0" totalsRowCount="1" headerRowDxfId="2061" dataDxfId="2060" totalsRowDxfId="2058" tableBorderDxfId="2059">
  <tableColumns count="17">
    <tableColumn id="1" xr3:uid="{D63548CF-3EE9-497F-B22E-681DD9779157}" name="Column1" headerRowDxfId="2057" dataDxfId="2056" totalsRowDxfId="2055"/>
    <tableColumn id="2" xr3:uid="{0921BAB1-C713-4702-85C4-2A41BD3450AE}" name="Column2" headerRowDxfId="2054" dataDxfId="2053" totalsRowDxfId="2052"/>
    <tableColumn id="3" xr3:uid="{46858616-EEF9-449B-9DC2-264C27B6CBDB}" name="Column3" headerRowDxfId="2051" dataDxfId="2050" totalsRowDxfId="2049"/>
    <tableColumn id="4" xr3:uid="{5AC31B97-9850-4413-95DF-5834DD9B3BA6}" name="Column4" headerRowDxfId="2048" dataDxfId="2047" totalsRowDxfId="2046"/>
    <tableColumn id="5" xr3:uid="{0BB80A15-6827-41E6-B579-EA6F5DE91D17}" name="Column5" headerRowDxfId="2045" dataDxfId="2044" totalsRowDxfId="2043"/>
    <tableColumn id="6" xr3:uid="{DFC0CD90-4B06-454D-8F02-E0A6382F9604}" name="Column6" headerRowDxfId="2042" dataDxfId="2041" totalsRowDxfId="2040"/>
    <tableColumn id="7" xr3:uid="{55684AE9-997D-4BE8-BA42-E070160895F0}" name="Column7" totalsRowFunction="sum" headerRowDxfId="2039" dataDxfId="2038" totalsRowDxfId="2037"/>
    <tableColumn id="8" xr3:uid="{EB41FC82-52CE-42FF-B109-B0F060CFCEAD}" name="Column8" totalsRowFunction="sum" headerRowDxfId="2036" dataDxfId="2035" totalsRowDxfId="2034"/>
    <tableColumn id="9" xr3:uid="{69D11D9A-14B4-4724-B8AC-76D5B3729023}" name="Column9" totalsRowFunction="sum" headerRowDxfId="2033" dataDxfId="2032" totalsRowDxfId="2031">
      <calculatedColumnFormula>Engineering6881889296[[#This Row],[Column7]]-Engineering6881889296[[#This Row],[Column8]]</calculatedColumnFormula>
    </tableColumn>
    <tableColumn id="10" xr3:uid="{25DFE753-546F-4AE5-9A60-259BF5B733CE}" name="Column10" totalsRowFunction="custom" headerRowDxfId="2030" dataDxfId="2029" totalsRowDxfId="2028">
      <calculatedColumnFormula>IFERROR(J134/I134,0)</calculatedColumnFormula>
      <totalsRowFormula>IFERROR(J137/I137,0)</totalsRowFormula>
    </tableColumn>
    <tableColumn id="11" xr3:uid="{0A8C31FD-A72B-4ED0-81D7-C2FCDB34F87D}" name="Column11" totalsRowFunction="sum" headerRowDxfId="2027" dataDxfId="2026" totalsRowDxfId="2025"/>
    <tableColumn id="12" xr3:uid="{F0F90E15-8FAB-4E32-8F1F-B0474E6D61F6}" name="Column12" totalsRowFunction="sum" headerRowDxfId="2024" dataDxfId="2023" totalsRowDxfId="2022"/>
    <tableColumn id="13" xr3:uid="{D0BA402F-19E0-4471-AA7D-426B31FA63A3}" name="Column13" totalsRowFunction="sum" headerRowDxfId="2021" dataDxfId="2020" totalsRowDxfId="2019">
      <calculatedColumnFormula>Engineering6881889296[[#This Row],[Column11]]-Engineering6881889296[[#This Row],[Column12]]</calculatedColumnFormula>
    </tableColumn>
    <tableColumn id="14" xr3:uid="{9070D741-897E-4D5B-89C9-911F61DF3F51}" name="Column14" totalsRowFunction="custom" headerRowDxfId="2018" dataDxfId="2017" totalsRowDxfId="2016">
      <calculatedColumnFormula>IFERROR(N134/M134,0)</calculatedColumnFormula>
      <totalsRowFormula>IFERROR(N137/M137,0)</totalsRowFormula>
    </tableColumn>
    <tableColumn id="15" xr3:uid="{6E08AAE4-F645-47D2-BC5B-05B1D35CD305}" name="Column15" totalsRowFunction="sum" headerRowDxfId="2015" dataDxfId="2014" totalsRowDxfId="2013"/>
    <tableColumn id="16" xr3:uid="{E6B96E26-9FAD-4FB4-B4DC-14D7EC31F4B3}" name="Column16" totalsRowFunction="sum" headerRowDxfId="2012" dataDxfId="2011" totalsRowDxfId="2010"/>
    <tableColumn id="17" xr3:uid="{254D85CF-B56F-4954-888A-460416D62C89}" name="Column17" totalsRowFunction="sum" headerRowDxfId="2009" dataDxfId="2008" totalsRowDxfId="2007">
      <calculatedColumnFormula>Engineering6881889296[[#This Row],[Column15]]-Engineering6881889296[[#This Row],[Column16]]</calculatedColumnFormula>
    </tableColumn>
  </tableColumns>
  <tableStyleInfo name="TableStyleMedium2"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5B70EBE2-EC70-4CB5-91CD-2CB3C7991F05}" name="Eng_21" displayName="Eng_21" ref="A11:Z13" headerRowCount="0" totalsRowCount="1" headerRowDxfId="2006" dataDxfId="2005" totalsRowDxfId="2003" tableBorderDxfId="2004">
  <tableColumns count="26">
    <tableColumn id="1" xr3:uid="{418FE2A4-1648-4546-957D-6040DB248AE5}" name="Column1" headerRowDxfId="2002" dataDxfId="2001" totalsRowDxfId="2000"/>
    <tableColumn id="2" xr3:uid="{38561221-05DD-4266-9517-72DCB8F329BA}" name="Column2" headerRowDxfId="1999" dataDxfId="1998" totalsRowDxfId="1997"/>
    <tableColumn id="3" xr3:uid="{019E155A-CC19-4C38-B5EE-518E6C087844}" name="Column3" headerRowDxfId="1996" dataDxfId="1995" totalsRowDxfId="1994"/>
    <tableColumn id="4" xr3:uid="{35EA6DCD-8E77-4CED-B5EB-E30180A61D23}" name="Column4" totalsRowLabel="SubTotal" headerRowDxfId="1993" dataDxfId="1992" totalsRowDxfId="1991"/>
    <tableColumn id="5" xr3:uid="{0538CD76-F30F-456D-A3EB-90D779D3E729}" name="Column5" headerRowDxfId="1990" dataDxfId="1989" totalsRowDxfId="1988"/>
    <tableColumn id="6" xr3:uid="{13CF7F85-1949-463D-94B2-1BCED2502747}" name="Column6" headerRowDxfId="1987" dataDxfId="1986" totalsRowDxfId="1985"/>
    <tableColumn id="33" xr3:uid="{EF89E993-B99E-4660-BE08-2D6351D468DE}" name="Column32" headerRowDxfId="1984" dataDxfId="1983" totalsRowDxfId="1982"/>
    <tableColumn id="32" xr3:uid="{ADE82826-5F0D-449D-8690-98E2A91B08FD}" name="Column31" headerRowDxfId="1981" dataDxfId="1980" totalsRowDxfId="1979"/>
    <tableColumn id="10" xr3:uid="{CF256453-9CFD-46FD-8493-4C356486B99F}" name="Column10" totalsRowFunction="sum" headerRowDxfId="1978" dataDxfId="1977" totalsRowDxfId="1976">
      <calculatedColumnFormula>Eng_21[[#This Row],[Column11]]+Eng_21[[#This Row],[Column12]]</calculatedColumnFormula>
    </tableColumn>
    <tableColumn id="11" xr3:uid="{637948B8-00A4-4E4F-BC93-8DD22CECDF7C}" name="Column11" totalsRowFunction="sum" headerRowDxfId="1975" dataDxfId="1974" totalsRowDxfId="1973"/>
    <tableColumn id="12" xr3:uid="{AF5CC1CD-0877-4101-B180-722002BC8A43}" name="Column12" totalsRowFunction="sum" headerRowDxfId="1972" dataDxfId="1971" totalsRowDxfId="1970"/>
    <tableColumn id="13" xr3:uid="{BF563666-4E84-426D-AEF5-E4F472B618C5}" name="Column13" totalsRowFunction="custom" headerRowDxfId="1969" dataDxfId="1968" totalsRowDxfId="1967">
      <calculatedColumnFormula>IFERROR(J11/I11,0)</calculatedColumnFormula>
      <totalsRowFormula>IFERROR(Eng_21[[#Totals],[Column11]]/Eng_21[[#Totals],[Column10]],0)</totalsRowFormula>
    </tableColumn>
    <tableColumn id="15" xr3:uid="{13141C79-D17F-49E9-A534-6FED42654608}" name="Column15" totalsRowFunction="sum" headerRowDxfId="1966" dataDxfId="1965" totalsRowDxfId="1964">
      <calculatedColumnFormula>Eng_21[[#This Row],[Column16]]+Eng_21[[#This Row],[Column17]]</calculatedColumnFormula>
    </tableColumn>
    <tableColumn id="16" xr3:uid="{D78F6979-70D5-4487-BE33-5CC85E80A8F5}" name="Column16" totalsRowFunction="sum" headerRowDxfId="1963" dataDxfId="1962" totalsRowDxfId="1961"/>
    <tableColumn id="17" xr3:uid="{DF4A0782-FECD-4B38-84EA-ECB6C510EE5A}" name="Column17" totalsRowFunction="sum" headerRowDxfId="1960" dataDxfId="1959" totalsRowDxfId="1958"/>
    <tableColumn id="18" xr3:uid="{FF7B11ED-9F97-43DE-B4B2-E8D672677508}" name="Column18" totalsRowFunction="custom" headerRowDxfId="1957" dataDxfId="1956" totalsRowDxfId="1955">
      <calculatedColumnFormula>IFERROR(#REF!/#REF!,0)</calculatedColumnFormula>
      <totalsRowFormula>IFERROR(Eng_21[[#Totals],[Column16]]/Eng_21[[#Totals],[Column15]],0)</totalsRowFormula>
    </tableColumn>
    <tableColumn id="19" xr3:uid="{97CB16C0-1459-4370-8D47-F0FD9059ED94}" name="Column19" totalsRowFunction="sum" headerRowDxfId="1954" dataDxfId="1953" totalsRowDxfId="1952">
      <calculatedColumnFormula>Eng_21[[#This Row],[Column20]]+Eng_21[[#This Row],[Column21]]</calculatedColumnFormula>
    </tableColumn>
    <tableColumn id="20" xr3:uid="{05F778EF-E889-42DB-AD61-1DEB76ED34D2}" name="Column20" totalsRowFunction="sum" headerRowDxfId="1951" dataDxfId="1950" totalsRowDxfId="1949"/>
    <tableColumn id="21" xr3:uid="{5F933608-24B7-45CB-8B72-4EB835684D68}" name="Column21" totalsRowFunction="sum" headerRowDxfId="1948" dataDxfId="1947" totalsRowDxfId="1946"/>
    <tableColumn id="22" xr3:uid="{B9017716-AB7A-4414-BE65-328F3CF80718}" name="Column22" totalsRowFunction="custom" headerRowDxfId="1945" dataDxfId="1944" totalsRowDxfId="1943">
      <calculatedColumnFormula>IFERROR(R11/Q11,0)</calculatedColumnFormula>
      <totalsRowFormula>IFERROR(Eng_21[[#Totals],[Column20]]/Eng_21[[#Totals],[Column19]],0)</totalsRowFormula>
    </tableColumn>
    <tableColumn id="24" xr3:uid="{554F4A0A-5A7F-42D8-9E97-27337DAC9486}" name="Column24" totalsRowFunction="sum" headerRowDxfId="1942" dataDxfId="1941" totalsRowDxfId="1940">
      <calculatedColumnFormula>Eng_21[[#This Row],[Column30]]+Eng_21[[#This Row],[Column29]]</calculatedColumnFormula>
    </tableColumn>
    <tableColumn id="30" xr3:uid="{2BD9292D-1D8B-491F-9613-44A5A8257C54}" name="Column30" totalsRowFunction="sum" headerRowDxfId="1939" dataDxfId="1938" totalsRowDxfId="1937"/>
    <tableColumn id="29" xr3:uid="{A92F9D0C-9897-419D-B808-68993B92E317}" name="Column29" totalsRowFunction="sum" headerRowDxfId="1936" dataDxfId="1935" totalsRowDxfId="1934"/>
    <tableColumn id="25" xr3:uid="{D30FFB83-F140-460B-9E1A-F78BAA90FE09}" name="Column25" totalsRowFunction="custom" headerRowDxfId="1933" dataDxfId="1932" totalsRowDxfId="1931">
      <calculatedColumnFormula>IFERROR(Eng_21[[#This Row],[Column30]]/Eng_21[[#This Row],[Column24]],0)</calculatedColumnFormula>
      <totalsRowFormula>IFERROR(Eng_21[[#Totals],[Column30]]/Eng_21[[#Totals],[Column24]],0)</totalsRowFormula>
    </tableColumn>
    <tableColumn id="26" xr3:uid="{973F829E-2EF7-4D8E-BB29-5BCA1B1BB890}" name="Column26" totalsRowFunction="custom" headerRowDxfId="1930" dataDxfId="1929" totalsRowDxfId="1928">
      <calculatedColumnFormula>IFERROR(W11/V11,0)</calculatedColumnFormula>
      <totalsRowFormula>IFERROR(Eng_21[[#Totals],[Column24]]/Eng_21[[#Totals],[Column19]],0)</totalsRowFormula>
    </tableColumn>
    <tableColumn id="28" xr3:uid="{9E0AF530-10F3-41E2-83F6-EF0B005A2BBB}" name="Column232" headerRowDxfId="1927" dataDxfId="1926" totalsRowDxfId="1925"/>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AD07B9B-1B59-4B76-B536-B578E3B79819}" name="Engineering68" displayName="Engineering68" ref="C19:S24" headerRowCount="0" totalsRowCount="1" headerRowDxfId="2941" dataDxfId="2940" totalsRowDxfId="2938" tableBorderDxfId="2939">
  <tableColumns count="17">
    <tableColumn id="1" xr3:uid="{5F84FF9C-6BA0-473F-A8B0-E78F6167405A}" name="Column1" headerRowDxfId="2937" dataDxfId="2936" totalsRowDxfId="2935"/>
    <tableColumn id="2" xr3:uid="{85C4121B-68E6-45CD-B034-393CB55D9CE5}" name="Column2" headerRowDxfId="2934" dataDxfId="2933" totalsRowDxfId="2932"/>
    <tableColumn id="3" xr3:uid="{698A490C-D406-413B-B664-D099E0F2322C}" name="Column3" headerRowDxfId="2931" dataDxfId="2930" totalsRowDxfId="2929"/>
    <tableColumn id="4" xr3:uid="{DAC08D15-3AF9-4A87-ADFF-BA6F963C82F9}" name="Column4" headerRowDxfId="2928" dataDxfId="2927" totalsRowDxfId="2926"/>
    <tableColumn id="5" xr3:uid="{38BA674B-06C9-43DD-9CF1-ADCC6C6F3CCE}" name="Column5" headerRowDxfId="2925" dataDxfId="2924" totalsRowDxfId="2923"/>
    <tableColumn id="6" xr3:uid="{B694B5D4-0552-4CCB-B092-0AD801518103}" name="Column6" headerRowDxfId="2922" dataDxfId="2921" totalsRowDxfId="2920"/>
    <tableColumn id="7" xr3:uid="{CE264FBF-8637-4D99-960C-B34154094B34}" name="Column7" totalsRowFunction="sum" headerRowDxfId="2919" dataDxfId="2918" totalsRowDxfId="2917"/>
    <tableColumn id="8" xr3:uid="{772EA685-F5BC-4EB4-804E-8949FE8E965A}" name="Column8" totalsRowFunction="sum" headerRowDxfId="2916" dataDxfId="2915" totalsRowDxfId="2914"/>
    <tableColumn id="9" xr3:uid="{5CEDCAF8-4EA6-41A9-8A35-02C74B9081D3}" name="Column9" totalsRowFunction="sum" headerRowDxfId="2913" dataDxfId="2912" totalsRowDxfId="2911">
      <calculatedColumnFormula>Engineering68[[#This Row],[Column7]]-Engineering68[[#This Row],[Column8]]</calculatedColumnFormula>
    </tableColumn>
    <tableColumn id="10" xr3:uid="{B7DD5FF6-CF64-4AE2-A822-03CDD3CD343D}" name="Column10" totalsRowFunction="custom" headerRowDxfId="2910" dataDxfId="2909" totalsRowDxfId="2908">
      <calculatedColumnFormula>IFERROR(J19/I19,0)</calculatedColumnFormula>
      <totalsRowFormula>IFERROR(J24/I24,0)</totalsRowFormula>
    </tableColumn>
    <tableColumn id="11" xr3:uid="{975C0AC7-F5FF-4935-B82C-EFFE0AC04FF8}" name="Column11" totalsRowFunction="sum" headerRowDxfId="2907" dataDxfId="2906" totalsRowDxfId="2905"/>
    <tableColumn id="12" xr3:uid="{4C33C475-4636-4F64-AB06-C4AAD9D70A57}" name="Column12" totalsRowFunction="sum" headerRowDxfId="2904" dataDxfId="2903" totalsRowDxfId="2902"/>
    <tableColumn id="13" xr3:uid="{CC274F17-2F31-4809-8014-5D6FF4CAFA95}" name="Column13" totalsRowFunction="sum" headerRowDxfId="2901" dataDxfId="2900" totalsRowDxfId="2899">
      <calculatedColumnFormula>Engineering68[[#This Row],[Column11]]-Engineering68[[#This Row],[Column12]]</calculatedColumnFormula>
    </tableColumn>
    <tableColumn id="14" xr3:uid="{ED57F1E0-E484-4B38-8D3B-90D36EDFB7E1}" name="Column14" totalsRowFunction="custom" headerRowDxfId="2898" dataDxfId="2897" totalsRowDxfId="2896">
      <calculatedColumnFormula>IFERROR(N19/M19,0)</calculatedColumnFormula>
      <totalsRowFormula>IFERROR(N24/M24,0)</totalsRowFormula>
    </tableColumn>
    <tableColumn id="15" xr3:uid="{B75A29EF-A664-4F5D-91F2-1062C505CBFC}" name="Column15" totalsRowFunction="sum" headerRowDxfId="2895" dataDxfId="2894" totalsRowDxfId="2893"/>
    <tableColumn id="16" xr3:uid="{5A2EA805-BE41-4C66-85B1-64FFC91E2E28}" name="Column16" totalsRowFunction="sum" headerRowDxfId="2892" dataDxfId="2891" totalsRowDxfId="2890"/>
    <tableColumn id="17" xr3:uid="{C54495BC-737C-4FEB-A9F5-7D4129470F57}" name="Column17" totalsRowFunction="sum" headerRowDxfId="2889" dataDxfId="2888" totalsRowDxfId="2887">
      <calculatedColumnFormula>Engineering68[[#This Row],[Column15]]-Engineering68[[#This Row],[Column16]]</calculatedColumnFormula>
    </tableColumn>
  </tableColumns>
  <tableStyleInfo name="TableStyleMedium2"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2F7B94A-573E-4E29-B363-BAD9B9716C57}" name="Eng" displayName="Eng" ref="A9:AI13" headerRowCount="0" totalsRowCount="1" headerRowDxfId="1924" dataDxfId="1923" totalsRowDxfId="1921" tableBorderDxfId="1922">
  <tableColumns count="35">
    <tableColumn id="1" xr3:uid="{28A80A9E-F07F-4018-B464-14D19258D7D0}" name="Column1" headerRowDxfId="1920" dataDxfId="1919" totalsRowDxfId="1918"/>
    <tableColumn id="2" xr3:uid="{148537E5-B910-41AC-99FD-4DB415A16818}" name="Column2" headerRowDxfId="1917" dataDxfId="1916" totalsRowDxfId="1915"/>
    <tableColumn id="3" xr3:uid="{62AE7A94-9373-4EA3-A142-B9BEAEB45950}" name="Column3" headerRowDxfId="1914" dataDxfId="1913" totalsRowDxfId="1912"/>
    <tableColumn id="4" xr3:uid="{5DFE31D2-9FD6-4335-9172-6A05320995E9}" name="Column4" totalsRowLabel="SubTotal" headerRowDxfId="1911" dataDxfId="1910" totalsRowDxfId="1909"/>
    <tableColumn id="5" xr3:uid="{DC4FA3BD-90EE-4FD1-B802-B347680AA3FD}" name="Column5" headerRowDxfId="1908" dataDxfId="1907" totalsRowDxfId="1906"/>
    <tableColumn id="6" xr3:uid="{51F86B4E-F9A1-46E1-9A1A-F573C961B607}" name="Column6" headerRowDxfId="1905" dataDxfId="1904" totalsRowDxfId="1903"/>
    <tableColumn id="33" xr3:uid="{B2D5DB64-43AB-4F9E-B914-E05511902357}" name="Column32" headerRowDxfId="1902" dataDxfId="1901" totalsRowDxfId="1900"/>
    <tableColumn id="32" xr3:uid="{FDBF87A2-C392-458B-B00E-598FA9397527}" name="Column31" headerRowDxfId="1899" dataDxfId="1898" totalsRowDxfId="1897"/>
    <tableColumn id="7" xr3:uid="{9CB574F6-0CB9-4047-BE37-C213D23D4C63}" name="Column7" totalsRowFunction="sum" headerRowDxfId="1896" dataDxfId="1895" totalsRowDxfId="1894"/>
    <tableColumn id="8" xr3:uid="{ACC9DC61-8718-48C7-B1D0-1125166EED01}" name="Column8" totalsRowFunction="sum" headerRowDxfId="1893" dataDxfId="1892" totalsRowDxfId="1891"/>
    <tableColumn id="9" xr3:uid="{B25A80BA-ABC2-4296-A382-8EA49AD6527A}" name="Column9" totalsRowFunction="sum" headerRowDxfId="1890" dataDxfId="1889" totalsRowDxfId="1888">
      <calculatedColumnFormula>Eng[[#This Row],[Column7]]-Eng[[#This Row],[Column8]]</calculatedColumnFormula>
    </tableColumn>
    <tableColumn id="14" xr3:uid="{D074E035-933A-40B2-AF6E-0D3BC885BA93}" name="Column14" totalsRowFunction="custom" headerRowDxfId="1887" dataDxfId="1886" totalsRowDxfId="1885">
      <calculatedColumnFormula>IFERROR(Eng[[#This Row],[Column8]]/Eng[[#This Row],[Column7]],0)</calculatedColumnFormula>
      <totalsRowFormula>IFERROR(Eng[[#Totals],[Column8]]/Eng[[#Totals],[Column7]],0)</totalsRowFormula>
    </tableColumn>
    <tableColumn id="10" xr3:uid="{F76CC49D-7510-4595-9607-65B1D5165CDA}" name="Column10" totalsRowFunction="sum" headerRowDxfId="1884" dataDxfId="1883" totalsRowDxfId="1882"/>
    <tableColumn id="11" xr3:uid="{0FBCE2C1-2114-4676-9C33-19929843D45C}" name="Column11" totalsRowFunction="sum" headerRowDxfId="1881" dataDxfId="1880" totalsRowDxfId="1879"/>
    <tableColumn id="12" xr3:uid="{A23B828F-5DC1-46FE-B548-D89AA010956A}" name="Column12" totalsRowFunction="sum" headerRowDxfId="1878" dataDxfId="1877" totalsRowDxfId="1876">
      <calculatedColumnFormula>Eng[[#This Row],[Column10]]-Eng[[#This Row],[Column11]]</calculatedColumnFormula>
    </tableColumn>
    <tableColumn id="13" xr3:uid="{EB3DD5F0-7248-45A7-96E7-95AE806675D7}" name="Column13" totalsRowFunction="custom" headerRowDxfId="1875" dataDxfId="1874" totalsRowDxfId="1873">
      <calculatedColumnFormula>IFERROR(N9/M9,0)</calculatedColumnFormula>
      <totalsRowFormula>IFERROR(Eng[[#Totals],[Column11]]/Eng[[#Totals],[Column10]],0)</totalsRowFormula>
    </tableColumn>
    <tableColumn id="35" xr3:uid="{64204F0C-6110-4498-B973-F31EFC24CED7}" name="Column34" totalsRowFunction="custom" headerRowDxfId="1872" dataDxfId="1871" totalsRowDxfId="1870">
      <calculatedColumnFormula>IFERROR(Eng[[#This Row],[Column10]]/Eng[[#This Row],[Column7]],0)</calculatedColumnFormula>
      <totalsRowFormula>IFERROR(Eng[[#Totals],[Column10]]/Eng[[#Totals],[Column7]],0)</totalsRowFormula>
    </tableColumn>
    <tableColumn id="23" xr3:uid="{4A80A562-CD88-4DA4-ADA7-BDE859390DB5}" name="Column23" totalsRowFunction="sum" headerRowDxfId="1869" dataDxfId="1868" totalsRowDxfId="1867"/>
    <tableColumn id="27" xr3:uid="{EEDCDE94-0ECF-4B5F-957E-DE30EF3B032F}" name="Column27" totalsRowFunction="sum" headerRowDxfId="1866" dataDxfId="1865" totalsRowDxfId="1864"/>
    <tableColumn id="31" xr3:uid="{0627999E-495C-46D9-BEFB-DD5227EB84CF}" name="Column28" totalsRowFunction="sum" headerRowDxfId="1863" dataDxfId="1862" totalsRowDxfId="1861">
      <calculatedColumnFormula>Eng[[#This Row],[Column23]]-Eng[[#This Row],[Column27]]</calculatedColumnFormula>
    </tableColumn>
    <tableColumn id="34" xr3:uid="{EFECB0D2-1E0F-40B0-8584-93E2F3838FF9}" name="Column33" totalsRowFunction="custom" headerRowDxfId="1860" dataDxfId="1859" totalsRowDxfId="1858">
      <calculatedColumnFormula>IFERROR(Eng[[#This Row],[Column27]]/Eng[[#This Row],[Column23]],0)</calculatedColumnFormula>
      <totalsRowFormula>IFERROR(Eng[[#Totals],[Column27]]/Eng[[#Totals],[Column23]],0)</totalsRowFormula>
    </tableColumn>
    <tableColumn id="15" xr3:uid="{D49F345F-48AB-4FCE-AC71-C79522775B6B}" name="Column15" totalsRowFunction="sum" headerRowDxfId="1857" dataDxfId="1856" totalsRowDxfId="1855"/>
    <tableColumn id="16" xr3:uid="{054F1C83-6A5D-41AF-9425-42B01857A7A1}" name="Column16" totalsRowFunction="sum" headerRowDxfId="1854" dataDxfId="1853" totalsRowDxfId="1852"/>
    <tableColumn id="17" xr3:uid="{C378498A-7555-4DB8-B63B-211A6138B365}" name="Column17" totalsRowFunction="sum" headerRowDxfId="1851" dataDxfId="1850" totalsRowDxfId="1849">
      <calculatedColumnFormula>Eng[[#This Row],[Column15]]-Eng[[#This Row],[Column16]]</calculatedColumnFormula>
    </tableColumn>
    <tableColumn id="18" xr3:uid="{C9200B60-ACC1-4CD2-A6D7-489FDF43BB27}" name="Column18" totalsRowFunction="custom" headerRowDxfId="1848" dataDxfId="1847" totalsRowDxfId="1846">
      <calculatedColumnFormula>IFERROR(W11/V11,0)</calculatedColumnFormula>
      <totalsRowFormula>IFERROR(Eng[[#Totals],[Column16]]/Eng[[#Totals],[Column15]],0)</totalsRowFormula>
    </tableColumn>
    <tableColumn id="19" xr3:uid="{F48BBE06-CA4F-4CC5-B500-8BB4391300FA}" name="Column19" totalsRowFunction="sum" headerRowDxfId="1845" dataDxfId="1844" totalsRowDxfId="1843"/>
    <tableColumn id="20" xr3:uid="{29CCEA5F-286A-41D6-8078-01FBB69D5462}" name="Column20" totalsRowFunction="sum" headerRowDxfId="1842" dataDxfId="1841" totalsRowDxfId="1840"/>
    <tableColumn id="21" xr3:uid="{6919E7D9-8867-4B11-8906-A1B592F32DED}" name="Column21" totalsRowFunction="sum" headerRowDxfId="1839" dataDxfId="1838" totalsRowDxfId="1837">
      <calculatedColumnFormula>Eng[[#This Row],[Column19]]-Eng[[#This Row],[Column20]]</calculatedColumnFormula>
    </tableColumn>
    <tableColumn id="22" xr3:uid="{3BAF8FAC-15D2-4349-9972-309FC372EB5A}" name="Column22" totalsRowFunction="custom" headerRowDxfId="1836" dataDxfId="1835" totalsRowDxfId="1834">
      <calculatedColumnFormula>IFERROR(AA9/Z9,0)</calculatedColumnFormula>
      <totalsRowFormula>IFERROR(Eng[[#Totals],[Column20]]/Eng[[#Totals],[Column19]],0)</totalsRowFormula>
    </tableColumn>
    <tableColumn id="24" xr3:uid="{C0245BF6-85F4-41CF-B774-2E1035DEB2BE}" name="Column24" totalsRowFunction="sum" headerRowDxfId="1833" dataDxfId="1832" totalsRowDxfId="1831"/>
    <tableColumn id="30" xr3:uid="{D0BA3EAA-9B70-4293-9B56-0DCDF60C799C}" name="Column30" totalsRowFunction="sum" headerRowDxfId="1830" dataDxfId="1829" totalsRowDxfId="1828"/>
    <tableColumn id="29" xr3:uid="{E840F9AE-F389-4FEC-B36D-56C3F7FA8E46}" name="Column29" totalsRowFunction="sum" headerRowDxfId="1827" dataDxfId="1826" totalsRowDxfId="1825">
      <calculatedColumnFormula>Eng[[#This Row],[Column24]]-Eng[[#This Row],[Column30]]</calculatedColumnFormula>
    </tableColumn>
    <tableColumn id="25" xr3:uid="{D4F7C368-D599-480F-888B-19BB03943F8F}" name="Column25" totalsRowFunction="custom" headerRowDxfId="1824" dataDxfId="1823" totalsRowDxfId="1822">
      <calculatedColumnFormula>IFERROR(Eng[[#This Row],[Column30]]/Eng[[#This Row],[Column24]],0)</calculatedColumnFormula>
      <totalsRowFormula>IFERROR(Eng[[#Totals],[Column30]]/Eng[[#Totals],[Column24]],0)</totalsRowFormula>
    </tableColumn>
    <tableColumn id="26" xr3:uid="{3FE72898-D9A6-4AE2-B72E-CF639BBA493E}" name="Column26" totalsRowFunction="custom" headerRowDxfId="1821" dataDxfId="1820" totalsRowDxfId="1819">
      <calculatedColumnFormula>IFERROR(Eng[[#This Row],[Column24]]/Eng[[#This Row],[Column19]],0)</calculatedColumnFormula>
      <totalsRowFormula>IFERROR(Eng[[#Totals],[Column24]]/Eng[[#Totals],[Column19]],0)</totalsRowFormula>
    </tableColumn>
    <tableColumn id="28" xr3:uid="{684B7A0C-F11D-4DBC-8ADE-C5C027F44CB5}" name="Column232" headerRowDxfId="1818" dataDxfId="1817" totalsRowDxfId="1816"/>
  </tableColumns>
  <tableStyleInfo name="TableStyleMedium2"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4BB7556B-7E38-4D4A-85E3-68C8CB19704E}" name="Fab" displayName="Fab" ref="B9:AI13" headerRowCount="0" totalsRowCount="1" headerRowDxfId="1815" dataDxfId="1814" totalsRowDxfId="1812" tableBorderDxfId="1813">
  <tableColumns count="34">
    <tableColumn id="1" xr3:uid="{7990C498-1109-4780-80C4-DB6470A99DF9}" name="Column1" headerRowDxfId="1811" dataDxfId="1810" totalsRowDxfId="1809"/>
    <tableColumn id="2" xr3:uid="{DB413CC7-5738-4C40-9258-14EF586036E9}" name="Column2" headerRowDxfId="1808" dataDxfId="1807" totalsRowDxfId="1806"/>
    <tableColumn id="3" xr3:uid="{1A674AB6-2FB0-4747-B6C4-9D0E5CA2A826}" name="Column3" headerRowDxfId="1805" dataDxfId="1804" totalsRowDxfId="1803"/>
    <tableColumn id="4" xr3:uid="{D7304290-6DC1-468A-B963-0E86AC861CFF}" name="Column4" totalsRowLabel="SubTotal" headerRowDxfId="1802" dataDxfId="1801" totalsRowDxfId="1800"/>
    <tableColumn id="5" xr3:uid="{BD3C6F11-A8BC-41EE-891E-E1D100EF9B63}" name="Column5" headerRowDxfId="1799" dataDxfId="1798" totalsRowDxfId="1797"/>
    <tableColumn id="6" xr3:uid="{242820E3-424C-4DE2-8136-A2C0139ABCAC}" name="Column6" headerRowDxfId="1796" dataDxfId="1795" totalsRowDxfId="1794"/>
    <tableColumn id="33" xr3:uid="{74602734-4BBB-4315-8997-FBBAC81B8E6B}" name="Column32" headerRowDxfId="1793" dataDxfId="1792" totalsRowDxfId="1791"/>
    <tableColumn id="7" xr3:uid="{CE11B16C-6F0D-4A7D-A645-2B40F312B80A}" name="Column7" totalsRowFunction="sum" headerRowDxfId="1790" dataDxfId="1789" totalsRowDxfId="1788"/>
    <tableColumn id="8" xr3:uid="{41481A47-814B-4B34-9FE8-143FB84A873D}" name="Column8" totalsRowFunction="sum" headerRowDxfId="1787" dataDxfId="1786" totalsRowDxfId="1785"/>
    <tableColumn id="9" xr3:uid="{EF349CDD-D956-4EAA-96E5-5CA821C04EF0}" name="Column9" totalsRowFunction="sum" headerRowDxfId="1784" dataDxfId="1783" totalsRowDxfId="1782">
      <calculatedColumnFormula>Fab[[#This Row],[Column7]]-Fab[[#This Row],[Column8]]</calculatedColumnFormula>
    </tableColumn>
    <tableColumn id="14" xr3:uid="{0EF70B09-0ADE-435C-ADE1-D44CBF3C709A}" name="Column14" totalsRowFunction="custom" headerRowDxfId="1781" dataDxfId="1780" totalsRowDxfId="1779">
      <calculatedColumnFormula>IFERROR(Fab[[#This Row],[Column8]]/Fab[[#This Row],[Column7]],0)</calculatedColumnFormula>
      <totalsRowFormula>IFERROR(Fab[[#Totals],[Column8]]/Fab[[#Totals],[Column7]],0)</totalsRowFormula>
    </tableColumn>
    <tableColumn id="10" xr3:uid="{6274CE4C-465A-4021-8415-92CC2148628A}" name="Column10" totalsRowFunction="sum" headerRowDxfId="1778" dataDxfId="1777" totalsRowDxfId="1776"/>
    <tableColumn id="11" xr3:uid="{F2A65D1F-1934-43D1-82A9-5932AA4F3E16}" name="Column11" totalsRowFunction="sum" headerRowDxfId="1775" dataDxfId="1774" totalsRowDxfId="1773"/>
    <tableColumn id="12" xr3:uid="{D288113E-0F80-4451-9CB1-2B067F2BF10D}" name="Column12" totalsRowFunction="sum" headerRowDxfId="1772" dataDxfId="1771" totalsRowDxfId="1770">
      <calculatedColumnFormula>Fab[[#This Row],[Column10]]-Fab[[#This Row],[Column11]]</calculatedColumnFormula>
    </tableColumn>
    <tableColumn id="13" xr3:uid="{262BAA77-79A1-4877-9E18-237564AE844D}" name="Column13" totalsRowFunction="custom" headerRowDxfId="1769" dataDxfId="1768" totalsRowDxfId="1767">
      <totalsRowFormula>IFERROR(Fab[[#Totals],[Column11]]/Fab[[#Totals],[Column10]],0)</totalsRowFormula>
    </tableColumn>
    <tableColumn id="37" xr3:uid="{763B841D-CD5B-4B20-A260-7FDDCE8AA7BB}" name="Column34" totalsRowFunction="custom" headerRowDxfId="1766" dataDxfId="1765" totalsRowDxfId="1764">
      <totalsRowFormula>IFERROR(Fab[[#Totals],[Column10]]/Fab[[#Totals],[Column7]],0)</totalsRowFormula>
    </tableColumn>
    <tableColumn id="23" xr3:uid="{4A759A1B-0890-4DA8-A445-4A57A0DD7A75}" name="Column23" totalsRowFunction="sum" headerRowDxfId="1763" dataDxfId="1762" totalsRowDxfId="1761"/>
    <tableColumn id="27" xr3:uid="{65EE526A-3310-4B43-94BE-E0B20A35FC30}" name="Column27" totalsRowFunction="sum" headerRowDxfId="1760" dataDxfId="1759" totalsRowDxfId="1758"/>
    <tableColumn id="31" xr3:uid="{D3ABBD59-A76C-4EEE-BAEF-3D42BCE5BFD6}" name="Column28" totalsRowFunction="sum" headerRowDxfId="1757" dataDxfId="1756" totalsRowDxfId="1755">
      <calculatedColumnFormula>Fab[[#This Row],[Column23]]-Fab[[#This Row],[Column27]]</calculatedColumnFormula>
    </tableColumn>
    <tableColumn id="34" xr3:uid="{10D7EA02-4E06-4FA8-BF58-3270DD348C6B}" name="Column33" totalsRowFunction="custom" headerRowDxfId="1754" dataDxfId="1753" totalsRowDxfId="1752">
      <totalsRowFormula>IFERROR(Fab[[#Totals],[Column16]]/Fab[[#Totals],[Column15]],0)</totalsRowFormula>
    </tableColumn>
    <tableColumn id="15" xr3:uid="{EE32B6CD-E9D1-4D3C-BF6D-348E13820A66}" name="Column15" totalsRowFunction="sum" headerRowDxfId="1751" dataDxfId="1750" totalsRowDxfId="1749"/>
    <tableColumn id="16" xr3:uid="{D2DCAF89-35B6-4DA6-A3E4-BAD959177736}" name="Column16" totalsRowFunction="sum" headerRowDxfId="1748" dataDxfId="1747" totalsRowDxfId="1746"/>
    <tableColumn id="17" xr3:uid="{6A4000DB-74D8-4865-9273-34C5B855E35E}" name="Column17" totalsRowFunction="sum" headerRowDxfId="1745" dataDxfId="1744" totalsRowDxfId="1743">
      <calculatedColumnFormula>Fab[[#This Row],[Column15]]-Fab[[#This Row],[Column16]]</calculatedColumnFormula>
    </tableColumn>
    <tableColumn id="18" xr3:uid="{34FE5D18-1CC5-4AD6-B390-22B3993E6B62}" name="Column18" totalsRowFunction="custom" headerRowDxfId="1742" dataDxfId="1741" totalsRowDxfId="1740">
      <totalsRowFormula>IFERROR(Fab[[#Totals],[Column16]]/Fab[[#Totals],[Column15]],0)</totalsRowFormula>
    </tableColumn>
    <tableColumn id="19" xr3:uid="{D38F2C7A-C09D-47C7-BA3C-BEC2AFEE091D}" name="Column19" totalsRowFunction="sum" headerRowDxfId="1739" dataDxfId="1738" totalsRowDxfId="1737"/>
    <tableColumn id="20" xr3:uid="{70EB96C0-1F98-4F84-ABAF-241A8AF354E3}" name="Column20" totalsRowFunction="sum" headerRowDxfId="1736" dataDxfId="1735" totalsRowDxfId="1734"/>
    <tableColumn id="21" xr3:uid="{875B7887-1599-41BA-B781-AB0317B34EC9}" name="Column21" totalsRowFunction="sum" headerRowDxfId="1733" dataDxfId="1732" totalsRowDxfId="1731">
      <calculatedColumnFormula>Fab[[#This Row],[Column19]]-Fab[[#This Row],[Column20]]</calculatedColumnFormula>
    </tableColumn>
    <tableColumn id="22" xr3:uid="{1A57483C-9B00-4DB0-A66E-24D9C6D0A979}" name="Column22" totalsRowFunction="custom" headerRowDxfId="1730" dataDxfId="1729" totalsRowDxfId="1728">
      <calculatedColumnFormula>IFERROR(AA9/Z9,0)</calculatedColumnFormula>
      <totalsRowFormula>IFERROR(Fab[[#Totals],[Column20]]/Fab[[#Totals],[Column19]],0)</totalsRowFormula>
    </tableColumn>
    <tableColumn id="24" xr3:uid="{F3D80E12-C979-4008-BB0D-28B362C9412A}" name="Column24" totalsRowFunction="sum" headerRowDxfId="1727" dataDxfId="1726" totalsRowDxfId="1725"/>
    <tableColumn id="30" xr3:uid="{9DCEEDB0-60CA-49DD-9425-D8E66EE3B1AC}" name="Column30" totalsRowFunction="sum" headerRowDxfId="1724" dataDxfId="1723" totalsRowDxfId="1722"/>
    <tableColumn id="29" xr3:uid="{21BBCDE9-16FB-44FA-B487-9C9160DF1FC6}" name="Column29" totalsRowFunction="sum" headerRowDxfId="1721" dataDxfId="1720" totalsRowDxfId="1719">
      <calculatedColumnFormula>Fab[[#This Row],[Column24]]-Fab[[#This Row],[Column30]]</calculatedColumnFormula>
    </tableColumn>
    <tableColumn id="25" xr3:uid="{47CD5310-9562-441E-93EA-2DA453C06A04}" name="Column25" totalsRowFunction="custom" headerRowDxfId="1718" dataDxfId="1717" totalsRowDxfId="1716">
      <calculatedColumnFormula>IFERROR(Fab[[#This Row],[Column30]]/Fab[[#This Row],[Column24]],0)</calculatedColumnFormula>
      <totalsRowFormula>IFERROR(Fab[[#Totals],[Column30]]/Fab[[#Totals],[Column24]],0)</totalsRowFormula>
    </tableColumn>
    <tableColumn id="26" xr3:uid="{A127728F-8709-40C2-B5E0-DF6843D81451}" name="Column26" totalsRowFunction="custom" headerRowDxfId="1715" dataDxfId="1714" totalsRowDxfId="1713">
      <totalsRowFormula>IFERROR(Fab[[#Totals],[Column24]]/Fab[[#Totals],[Column19]],0)</totalsRowFormula>
    </tableColumn>
    <tableColumn id="28" xr3:uid="{9D3DF8F1-1E69-4EC6-B685-87296309BC49}" name="Column232" headerRowDxfId="1712" dataDxfId="1711" totalsRowDxfId="1710"/>
  </tableColumns>
  <tableStyleInfo name="TableStyleMedium2"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FE43B8F8-5A0D-4565-AD11-3881B32E4873}" name="Mat" displayName="Mat" ref="A9:AI13" headerRowCount="0" totalsRowCount="1" headerRowDxfId="1709" dataDxfId="1708" totalsRowDxfId="1706" tableBorderDxfId="1707">
  <tableColumns count="35">
    <tableColumn id="1" xr3:uid="{2C6ED2F2-C892-475C-8D60-567D5E93987C}" name="Column1" headerRowDxfId="1705" dataDxfId="1704" totalsRowDxfId="1703"/>
    <tableColumn id="2" xr3:uid="{640F9184-BDC4-42A2-9A9F-36B11C0764C1}" name="Column2" headerRowDxfId="1702" dataDxfId="1701" totalsRowDxfId="1700"/>
    <tableColumn id="3" xr3:uid="{F5887F7F-E870-46B9-A498-FD0BAD6D98EA}" name="Column3" headerRowDxfId="1699" dataDxfId="1698" totalsRowDxfId="1697"/>
    <tableColumn id="4" xr3:uid="{EFEA35D2-26D5-4CDD-AAC9-D8BE4456908F}" name="Column4" totalsRowLabel="SubTotal" headerRowDxfId="1696" dataDxfId="1695" totalsRowDxfId="1694"/>
    <tableColumn id="5" xr3:uid="{8AD64E69-A678-4E0D-8F8F-67A64B818854}" name="Column5" headerRowDxfId="1693" dataDxfId="1692" totalsRowDxfId="1691"/>
    <tableColumn id="6" xr3:uid="{7AB768B5-A10C-44B5-80D2-B9CE778EFBC4}" name="Column6" headerRowDxfId="1690" dataDxfId="1689" totalsRowDxfId="1688"/>
    <tableColumn id="33" xr3:uid="{4D0EB3C6-E4B3-4B80-88CB-5F847577E10B}" name="Column32" headerRowDxfId="1687" dataDxfId="1686" totalsRowDxfId="1685"/>
    <tableColumn id="32" xr3:uid="{FCF00123-C09A-4CC8-9B13-15568632B4E1}" name="Column31" headerRowDxfId="1684" dataDxfId="1683" totalsRowDxfId="1682"/>
    <tableColumn id="7" xr3:uid="{E93AA64F-773D-4C95-825F-90E9A7250D05}" name="Column7" totalsRowFunction="sum" headerRowDxfId="1681" dataDxfId="1680" totalsRowDxfId="1679"/>
    <tableColumn id="8" xr3:uid="{B7D0B0DA-6040-4696-85A3-67F4DD957B96}" name="Column8" totalsRowFunction="sum" headerRowDxfId="1678" dataDxfId="1677" totalsRowDxfId="1676"/>
    <tableColumn id="9" xr3:uid="{D25FF687-1D2A-492F-A383-961797A1F515}" name="Column9" totalsRowFunction="sum" headerRowDxfId="1675" dataDxfId="1674" totalsRowDxfId="1673">
      <calculatedColumnFormula>Mat[[#This Row],[Column7]]-Mat[[#This Row],[Column8]]</calculatedColumnFormula>
    </tableColumn>
    <tableColumn id="14" xr3:uid="{FBF86ED1-65DD-4163-AEA0-0626ADEBEC1B}" name="Column14" totalsRowFunction="custom" headerRowDxfId="1672" dataDxfId="1671" totalsRowDxfId="1670">
      <calculatedColumnFormula>IFERROR(J9/I9,0)</calculatedColumnFormula>
      <totalsRowFormula>IFERROR(Mat[[#Totals],[Column8]]/Mat[[#Totals],[Column7]],0)</totalsRowFormula>
    </tableColumn>
    <tableColumn id="10" xr3:uid="{DC6DC062-A8B9-42DA-94C4-11F22BC20ED7}" name="Column10" totalsRowFunction="sum" headerRowDxfId="1669" dataDxfId="1668" totalsRowDxfId="1667"/>
    <tableColumn id="11" xr3:uid="{C3DD6F4E-AA91-4833-B6AC-F6BCD0433003}" name="Column11" totalsRowFunction="sum" headerRowDxfId="1666" dataDxfId="1665" totalsRowDxfId="1664"/>
    <tableColumn id="12" xr3:uid="{19796D5F-5378-4616-AA31-2569F77FC6E6}" name="Column12" totalsRowFunction="sum" headerRowDxfId="1663" dataDxfId="1662" totalsRowDxfId="1661">
      <calculatedColumnFormula>Mat[[#This Row],[Column10]]-Mat[[#This Row],[Column11]]</calculatedColumnFormula>
    </tableColumn>
    <tableColumn id="13" xr3:uid="{F4942FA6-BF32-46C6-885B-72B3258E83B8}" name="Column13" totalsRowFunction="custom" headerRowDxfId="1660" dataDxfId="1659" totalsRowDxfId="1658">
      <calculatedColumnFormula>IFERROR(N9/M9,0)</calculatedColumnFormula>
      <totalsRowFormula>IFERROR(Mat[[#Totals],[Column11]]/Mat[[#Totals],[Column10]],0)</totalsRowFormula>
    </tableColumn>
    <tableColumn id="35" xr3:uid="{E926AF65-ECD8-42B4-BD90-56C298F983B7}" name="Column34" totalsRowFunction="custom" headerRowDxfId="1657" dataDxfId="1656" totalsRowDxfId="1655">
      <totalsRowFormula>IFERROR(Mat[[#Totals],[Column10]]/Mat[[#Totals],[Column7]],0)</totalsRowFormula>
    </tableColumn>
    <tableColumn id="23" xr3:uid="{1A6F1309-6870-46B5-BA20-174B2518B028}" name="Column23" totalsRowFunction="sum" headerRowDxfId="1654" dataDxfId="1653" totalsRowDxfId="1652"/>
    <tableColumn id="27" xr3:uid="{DB980282-505D-4623-BC53-9C7038D3E17F}" name="Column27" totalsRowFunction="sum" headerRowDxfId="1651" dataDxfId="1650" totalsRowDxfId="1649"/>
    <tableColumn id="31" xr3:uid="{42034DB9-FCB4-4203-B7C9-6BA494544D36}" name="Column28" totalsRowFunction="sum" headerRowDxfId="1648" dataDxfId="1647" totalsRowDxfId="1646">
      <calculatedColumnFormula>Mat[[#This Row],[Column23]]-Mat[[#This Row],[Column27]]</calculatedColumnFormula>
    </tableColumn>
    <tableColumn id="34" xr3:uid="{74519939-B837-4536-B272-694C8D194BB6}" name="Column33" totalsRowFunction="custom" headerRowDxfId="1645" dataDxfId="1644" totalsRowDxfId="1643">
      <calculatedColumnFormula>IFERROR(Mat[[#This Row],[Column27]]/Mat[[#This Row],[Column23]],0)</calculatedColumnFormula>
      <totalsRowFormula>IFERROR(Mat[[#Totals],[Column27]]/Mat[[#Totals],[Column23]],0)</totalsRowFormula>
    </tableColumn>
    <tableColumn id="15" xr3:uid="{4D0D1825-9994-4676-9375-488F9EDF2B19}" name="Column15" totalsRowFunction="sum" headerRowDxfId="1642" dataDxfId="1641" totalsRowDxfId="1640"/>
    <tableColumn id="16" xr3:uid="{3B5E4CF0-5B78-43BB-84DC-D734732F4B16}" name="Column16" totalsRowFunction="sum" headerRowDxfId="1639" dataDxfId="1638" totalsRowDxfId="1637"/>
    <tableColumn id="17" xr3:uid="{F005DF83-E4FF-403F-801E-84A785D3D61C}" name="Column17" totalsRowFunction="sum" headerRowDxfId="1636" dataDxfId="1635" totalsRowDxfId="1634">
      <calculatedColumnFormula>Mat[[#This Row],[Column15]]-Mat[[#This Row],[Column16]]</calculatedColumnFormula>
    </tableColumn>
    <tableColumn id="18" xr3:uid="{4D6463B4-9A32-4B26-8865-CED4A3D79EE0}" name="Column18" totalsRowFunction="custom" headerRowDxfId="1633" dataDxfId="1632" totalsRowDxfId="1631">
      <calculatedColumnFormula>IFERROR(W11/V11,0)</calculatedColumnFormula>
      <totalsRowFormula>IFERROR(Mat[[#Totals],[Column16]]/Mat[[#Totals],[Column15]],0)</totalsRowFormula>
    </tableColumn>
    <tableColumn id="19" xr3:uid="{FB75FBE6-E324-4B52-ABE4-B3B2F90B5981}" name="Column19" totalsRowFunction="sum" headerRowDxfId="1630" dataDxfId="1629" totalsRowDxfId="1628"/>
    <tableColumn id="20" xr3:uid="{BB533B19-5F81-4F6F-9F72-D0160BE550AC}" name="Column20" totalsRowFunction="sum" headerRowDxfId="1627" dataDxfId="1626" totalsRowDxfId="1625"/>
    <tableColumn id="21" xr3:uid="{94606B87-E8A7-4F97-BF89-2FE377759A41}" name="Column21" totalsRowFunction="sum" headerRowDxfId="1624" dataDxfId="1623" totalsRowDxfId="1622">
      <calculatedColumnFormula>Mat[[#This Row],[Column19]]-Mat[[#This Row],[Column20]]</calculatedColumnFormula>
    </tableColumn>
    <tableColumn id="22" xr3:uid="{11BA3321-DCA8-404A-BB41-E40838266F52}" name="Column22" totalsRowFunction="custom" headerRowDxfId="1621" dataDxfId="1620" totalsRowDxfId="1619">
      <calculatedColumnFormula>IFERROR(AA9/Z9,0)</calculatedColumnFormula>
      <totalsRowFormula>IFERROR(Mat[[#Totals],[Column20]]/Mat[[#Totals],[Column19]],0)</totalsRowFormula>
    </tableColumn>
    <tableColumn id="24" xr3:uid="{8CFD0ECB-8728-4BE5-B2AD-67D3EB7A637A}" name="Column24" totalsRowFunction="sum" headerRowDxfId="1618" dataDxfId="1617" totalsRowDxfId="1616"/>
    <tableColumn id="30" xr3:uid="{3E4136AB-9A06-4FEB-A554-7EF57A8523C5}" name="Column30" totalsRowFunction="sum" headerRowDxfId="1615" dataDxfId="1614" totalsRowDxfId="1613"/>
    <tableColumn id="29" xr3:uid="{8D45E444-2F7D-4726-85ED-C9535CFA4431}" name="Column29" totalsRowFunction="sum" headerRowDxfId="1612" dataDxfId="1611" totalsRowDxfId="1610">
      <calculatedColumnFormula>Mat[[#This Row],[Column24]]-Mat[[#This Row],[Column30]]</calculatedColumnFormula>
    </tableColumn>
    <tableColumn id="25" xr3:uid="{A6B27509-117E-4F91-A9C6-E8C01F837EC6}" name="Column25" totalsRowFunction="custom" headerRowDxfId="1609" dataDxfId="1608" totalsRowDxfId="1607">
      <calculatedColumnFormula>IFERROR(Mat[[#This Row],[Column30]]/Mat[[#This Row],[Column24]],0)</calculatedColumnFormula>
      <totalsRowFormula>IFERROR(Mat[[#Totals],[Column30]]/Mat[[#Totals],[Column24]],0)</totalsRowFormula>
    </tableColumn>
    <tableColumn id="26" xr3:uid="{C73F81C6-30FA-4E6D-8C24-2550191B8536}" name="Column26" totalsRowFunction="custom" headerRowDxfId="1606" dataDxfId="1605" totalsRowDxfId="1604">
      <calculatedColumnFormula>IFERROR(Mat[[#This Row],[Column24]]/Mat[[#This Row],[Column19]],0)</calculatedColumnFormula>
      <totalsRowFormula>IFERROR(Mat[[#Totals],[Column24]]/Mat[[#Totals],[Column19]],0)</totalsRowFormula>
    </tableColumn>
    <tableColumn id="28" xr3:uid="{D272A430-88F1-42BC-8A78-21A1D0372124}" name="Column232" headerRowDxfId="1603" dataDxfId="1602" totalsRowDxfId="1601"/>
  </tableColumns>
  <tableStyleInfo name="TableStyleMedium2"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AB1CFA7D-334B-4ACD-870B-CB00C97DA115}" name="Well" displayName="Well" ref="A9:AI13" headerRowCount="0" totalsRowCount="1" headerRowDxfId="1600" dataDxfId="1599" totalsRowDxfId="1597" tableBorderDxfId="1598">
  <tableColumns count="35">
    <tableColumn id="1" xr3:uid="{09FA1B01-FC5E-4663-8318-968D49D7D54B}" name="Column1" headerRowDxfId="1596" dataDxfId="1595" totalsRowDxfId="1594"/>
    <tableColumn id="2" xr3:uid="{A129AA0B-1F10-4D36-9921-E4F532CE0412}" name="Column2" headerRowDxfId="1593" dataDxfId="1592" totalsRowDxfId="1591"/>
    <tableColumn id="3" xr3:uid="{28687A88-2ADF-4A01-B8D8-832B915DA55C}" name="Column3" headerRowDxfId="1590" dataDxfId="1589" totalsRowDxfId="1588"/>
    <tableColumn id="4" xr3:uid="{1CC5EB71-A31A-4A82-B497-0E6188E1E9EB}" name="Column4" totalsRowLabel="SubTotal" headerRowDxfId="1587" dataDxfId="1586" totalsRowDxfId="1585"/>
    <tableColumn id="5" xr3:uid="{834F7CAE-DF95-4F08-8C3D-A0BCA09699DC}" name="Column5" headerRowDxfId="1584" dataDxfId="1583" totalsRowDxfId="1582"/>
    <tableColumn id="6" xr3:uid="{BA8CE3F1-BBE8-4EB5-A380-0A88707A6E1F}" name="Column6" headerRowDxfId="1581" dataDxfId="1580" totalsRowDxfId="1579"/>
    <tableColumn id="33" xr3:uid="{C149C133-8413-422D-8F1D-95220D4808CF}" name="Column32" headerRowDxfId="1578" dataDxfId="1577" totalsRowDxfId="1576"/>
    <tableColumn id="32" xr3:uid="{C909E940-328D-4320-8133-319FA7DC3120}" name="Column31" headerRowDxfId="1575" dataDxfId="1574" totalsRowDxfId="1573"/>
    <tableColumn id="7" xr3:uid="{64E6A896-5217-4788-BD27-AA9D8453FDEE}" name="Column7" totalsRowFunction="sum" headerRowDxfId="1572" dataDxfId="1571" totalsRowDxfId="1570"/>
    <tableColumn id="8" xr3:uid="{D7498531-DF51-4F1E-A88F-E0D889534674}" name="Column8" totalsRowFunction="sum" headerRowDxfId="1569" dataDxfId="1568" totalsRowDxfId="1567"/>
    <tableColumn id="9" xr3:uid="{66E4A4C9-A655-4EA9-BA01-502735140520}" name="Column9" totalsRowFunction="sum" headerRowDxfId="1566" dataDxfId="1565" totalsRowDxfId="1564">
      <calculatedColumnFormula>Well[[#This Row],[Column7]]-Well[[#This Row],[Column8]]</calculatedColumnFormula>
    </tableColumn>
    <tableColumn id="14" xr3:uid="{20D7330A-8F1D-48E0-8734-C10F4D2508EB}" name="Column14" totalsRowFunction="custom" headerRowDxfId="1563" dataDxfId="1562" totalsRowDxfId="1561">
      <calculatedColumnFormula>IFERROR(Well[[#This Row],[Column8]]/Well[[#This Row],[Column7]],0)</calculatedColumnFormula>
      <totalsRowFormula>IFERROR(Well[[#Totals],[Column8]]/Well[[#Totals],[Column7]],0)</totalsRowFormula>
    </tableColumn>
    <tableColumn id="10" xr3:uid="{BAC10552-E600-4A19-84BF-649F29F22ABC}" name="Column10" totalsRowFunction="sum" headerRowDxfId="1560" dataDxfId="1559" totalsRowDxfId="1558"/>
    <tableColumn id="11" xr3:uid="{9A5D34AE-C74C-4DDD-BD58-332BF4D5AAFB}" name="Column11" totalsRowFunction="sum" headerRowDxfId="1557" dataDxfId="1556" totalsRowDxfId="1555"/>
    <tableColumn id="12" xr3:uid="{82DA36EC-C834-481B-B203-4BA1E4D82D9A}" name="Column12" totalsRowFunction="sum" headerRowDxfId="1554" dataDxfId="1553" totalsRowDxfId="1552">
      <calculatedColumnFormula>Well[[#This Row],[Column10]]-Well[[#This Row],[Column11]]</calculatedColumnFormula>
    </tableColumn>
    <tableColumn id="13" xr3:uid="{5F6A096D-005F-413F-8B68-0E1E59955F52}" name="Column13" totalsRowFunction="custom" headerRowDxfId="1551" dataDxfId="1550" totalsRowDxfId="1549">
      <calculatedColumnFormula>IFERROR(N9/M9,0)</calculatedColumnFormula>
      <totalsRowFormula>IFERROR(Well[[#Totals],[Column11]]/Well[[#Totals],[Column10]],0)</totalsRowFormula>
    </tableColumn>
    <tableColumn id="35" xr3:uid="{A2F1FCC1-D0A7-4B23-B73E-0D3C080B2AA0}" name="Column34" totalsRowFunction="custom" headerRowDxfId="1548" dataDxfId="1547" totalsRowDxfId="1546">
      <totalsRowFormula>IFERROR(Well[[#Totals],[Column10]]/Well[[#Totals],[Column7]],0)</totalsRowFormula>
    </tableColumn>
    <tableColumn id="23" xr3:uid="{2BBABF01-81BF-45B1-B1E2-326D2262C363}" name="Column23" totalsRowFunction="sum" headerRowDxfId="1545" dataDxfId="1544" totalsRowDxfId="1543"/>
    <tableColumn id="27" xr3:uid="{2239D3B3-CD02-4668-B164-E77336FFC661}" name="Column27" totalsRowFunction="sum" headerRowDxfId="1542" dataDxfId="1541" totalsRowDxfId="1540"/>
    <tableColumn id="31" xr3:uid="{7B69AF49-6FCC-4732-A90A-F246A7BFDB92}" name="Column28" totalsRowFunction="sum" headerRowDxfId="1539" dataDxfId="1538" totalsRowDxfId="1537">
      <calculatedColumnFormula>Well[[#This Row],[Column23]]-Well[[#This Row],[Column27]]</calculatedColumnFormula>
    </tableColumn>
    <tableColumn id="34" xr3:uid="{AC2322B4-F4DA-404D-A227-741C86898198}" name="Column33" totalsRowFunction="custom" headerRowDxfId="1536" dataDxfId="1535" totalsRowDxfId="1534">
      <calculatedColumnFormula>IFERROR(Well[[#This Row],[Column27]]/Well[[#This Row],[Column23]],0)</calculatedColumnFormula>
      <totalsRowFormula>IFERROR(Well[[#Totals],[Column27]]/Well[[#Totals],[Column23]],0)</totalsRowFormula>
    </tableColumn>
    <tableColumn id="15" xr3:uid="{0DDB01E2-8E00-4BE9-9B55-D04F1957C53A}" name="Column15" totalsRowFunction="sum" headerRowDxfId="1533" dataDxfId="1532" totalsRowDxfId="1531"/>
    <tableColumn id="16" xr3:uid="{5DDF3F8E-41C5-42D3-AB26-3B7AB040B71E}" name="Column16" totalsRowFunction="sum" headerRowDxfId="1530" dataDxfId="1529" totalsRowDxfId="1528"/>
    <tableColumn id="17" xr3:uid="{EF69BFFF-1590-4FDA-A785-AFBB76D4AFFF}" name="Column17" totalsRowFunction="sum" headerRowDxfId="1527" dataDxfId="1526" totalsRowDxfId="1525">
      <calculatedColumnFormula>Well[[#This Row],[Column15]]-Well[[#This Row],[Column16]]</calculatedColumnFormula>
    </tableColumn>
    <tableColumn id="18" xr3:uid="{5B0AE818-F2E9-4D22-8AB8-711405F3F91D}" name="Column18" totalsRowFunction="custom" headerRowDxfId="1524" dataDxfId="1523" totalsRowDxfId="1522">
      <calculatedColumnFormula>IFERROR(W11/V11,0)</calculatedColumnFormula>
      <totalsRowFormula>IFERROR(Well[[#Totals],[Column16]]/Well[[#Totals],[Column15]],0)</totalsRowFormula>
    </tableColumn>
    <tableColumn id="19" xr3:uid="{8F23D24A-F0C7-44C9-9F22-B239122F98CE}" name="Column19" totalsRowFunction="sum" headerRowDxfId="1521" dataDxfId="1520" totalsRowDxfId="1519"/>
    <tableColumn id="20" xr3:uid="{CE521D50-7001-422D-B866-499B5E333D33}" name="Column20" totalsRowFunction="sum" headerRowDxfId="1518" dataDxfId="1517" totalsRowDxfId="1516"/>
    <tableColumn id="21" xr3:uid="{01DC8524-343B-40CF-AEB0-F0C891A1C33F}" name="Column21" totalsRowFunction="sum" headerRowDxfId="1515" dataDxfId="1514" totalsRowDxfId="1513">
      <calculatedColumnFormula>Well[[#This Row],[Column19]]-Well[[#This Row],[Column20]]</calculatedColumnFormula>
    </tableColumn>
    <tableColumn id="22" xr3:uid="{C1DE048A-127D-4CE2-AD55-DE64D3224492}" name="Column22" totalsRowFunction="custom" headerRowDxfId="1512" dataDxfId="1511" totalsRowDxfId="1510">
      <calculatedColumnFormula>IFERROR(AA9/Z9,0)</calculatedColumnFormula>
      <totalsRowFormula>IFERROR(Well[[#Totals],[Column20]]/Well[[#Totals],[Column19]],0)</totalsRowFormula>
    </tableColumn>
    <tableColumn id="24" xr3:uid="{BB0FC4D9-20D1-4E33-8D82-212877AC820D}" name="Column24" totalsRowFunction="sum" headerRowDxfId="1509" dataDxfId="1508" totalsRowDxfId="1507"/>
    <tableColumn id="30" xr3:uid="{68BC729B-4D06-4A92-B4A8-DF8860429145}" name="Column30" totalsRowFunction="sum" headerRowDxfId="1506" dataDxfId="1505" totalsRowDxfId="1504"/>
    <tableColumn id="29" xr3:uid="{F9FE997A-A985-4A86-9350-B1957BBC1672}" name="Column29" totalsRowFunction="sum" headerRowDxfId="1503" dataDxfId="1502" totalsRowDxfId="1501">
      <calculatedColumnFormula>Well[[#This Row],[Column24]]-Well[[#This Row],[Column30]]</calculatedColumnFormula>
    </tableColumn>
    <tableColumn id="25" xr3:uid="{A4D88945-A789-4375-AE5F-C1E490BF4C20}" name="Column25" totalsRowFunction="custom" headerRowDxfId="1500" dataDxfId="1499" totalsRowDxfId="1498">
      <calculatedColumnFormula>IFERROR(Well[[#This Row],[Column30]]/Well[[#This Row],[Column24]],0)</calculatedColumnFormula>
      <totalsRowFormula>IFERROR(Well[[#Totals],[Column30]]/Well[[#Totals],[Column24]],0)</totalsRowFormula>
    </tableColumn>
    <tableColumn id="26" xr3:uid="{4A083C6B-67F1-44F8-9705-FDDEA969705E}" name="Column26" totalsRowFunction="custom" headerRowDxfId="1497" dataDxfId="1496" totalsRowDxfId="1495">
      <calculatedColumnFormula>IFERROR(Well[[#This Row],[Column24]]/Well[[#This Row],[Column19]],0)</calculatedColumnFormula>
      <totalsRowFormula>IFERROR(Well[[#Totals],[Column24]]/Well[[#Totals],[Column19]],0)</totalsRowFormula>
    </tableColumn>
    <tableColumn id="28" xr3:uid="{F7C517C0-FAEB-4608-9DFF-11B0018B137A}" name="Column232" headerRowDxfId="1494" dataDxfId="1493" totalsRowDxfId="1492"/>
  </tableColumns>
  <tableStyleInfo name="TableStyleMedium2"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31DD458E-4EEE-404E-95DF-EEDF50E49A2C}" name="Res" displayName="Res" ref="A9:AI13" headerRowCount="0" totalsRowCount="1" headerRowDxfId="1491" dataDxfId="1490" totalsRowDxfId="1488" tableBorderDxfId="1489">
  <tableColumns count="35">
    <tableColumn id="1" xr3:uid="{E5F85497-B371-4120-9D6E-1F2C81B5FDB5}" name="Column1" headerRowDxfId="1487" dataDxfId="1486" totalsRowDxfId="1485"/>
    <tableColumn id="2" xr3:uid="{EFDD4CF8-805E-4D18-B6BE-ED7517381D8F}" name="Column2" headerRowDxfId="1484" dataDxfId="1483" totalsRowDxfId="1482"/>
    <tableColumn id="3" xr3:uid="{7000BCBB-31D3-4248-B42C-A4AC06E5D54C}" name="Column3" headerRowDxfId="1481" dataDxfId="1480" totalsRowDxfId="1479"/>
    <tableColumn id="4" xr3:uid="{6969A9AD-5C73-422A-BA2C-43F6B079B6F0}" name="Column4" totalsRowLabel="SubTotal" headerRowDxfId="1478" dataDxfId="1477" totalsRowDxfId="1476"/>
    <tableColumn id="5" xr3:uid="{BA6DD238-94ED-4F11-B19F-F2B3E7BA854F}" name="Column5" headerRowDxfId="1475" dataDxfId="1474" totalsRowDxfId="1473"/>
    <tableColumn id="6" xr3:uid="{280A3554-00A2-4B47-B2CD-DCFDD08155FD}" name="Column6" headerRowDxfId="1472" dataDxfId="1471" totalsRowDxfId="1470"/>
    <tableColumn id="33" xr3:uid="{A9FDD691-F99F-403C-8E2B-24AFCD9B6606}" name="Column32" headerRowDxfId="1469" dataDxfId="1468" totalsRowDxfId="1467"/>
    <tableColumn id="32" xr3:uid="{F57B5BC1-30B9-40A4-B149-261FC59B15EB}" name="Column31" headerRowDxfId="1466" dataDxfId="1465" totalsRowDxfId="1464"/>
    <tableColumn id="7" xr3:uid="{8C6EFACC-B194-4CE9-9002-76A97D4F51A9}" name="Column7" totalsRowFunction="sum" headerRowDxfId="1463" dataDxfId="1462" totalsRowDxfId="1461"/>
    <tableColumn id="8" xr3:uid="{F9FDDD5A-5638-4F3F-AC5B-E04AF8B92311}" name="Column8" totalsRowFunction="sum" headerRowDxfId="1460" dataDxfId="1459" totalsRowDxfId="1458"/>
    <tableColumn id="9" xr3:uid="{D32B5284-2AC2-4427-A06A-4B015E7C2749}" name="Column9" totalsRowFunction="sum" headerRowDxfId="1457" dataDxfId="1456" totalsRowDxfId="1455">
      <calculatedColumnFormula>Res[[#This Row],[Column7]]-Res[[#This Row],[Column8]]</calculatedColumnFormula>
    </tableColumn>
    <tableColumn id="14" xr3:uid="{CBC7FAD4-0E4A-493E-8DF6-2C55ED87863D}" name="Column14" totalsRowFunction="custom" headerRowDxfId="1454" dataDxfId="1453" totalsRowDxfId="1452">
      <calculatedColumnFormula>IFERROR(Res[[#This Row],[Column8]]/Res[[#This Row],[Column7]],0)</calculatedColumnFormula>
      <totalsRowFormula>IFERROR(Res[[#Totals],[Column8]]/Res[[#Totals],[Column7]],0)</totalsRowFormula>
    </tableColumn>
    <tableColumn id="10" xr3:uid="{F3A65965-0BCF-43CB-8844-43FD4209FCF6}" name="Column10" totalsRowFunction="sum" headerRowDxfId="1451" dataDxfId="1450" totalsRowDxfId="1449"/>
    <tableColumn id="11" xr3:uid="{333B9BC1-F9D8-4D9F-BDB4-C5C06C1EF9DC}" name="Column11" totalsRowFunction="sum" headerRowDxfId="1448" dataDxfId="1447" totalsRowDxfId="1446"/>
    <tableColumn id="12" xr3:uid="{60503B89-B1BB-4821-B6AC-7DFD72A606EC}" name="Column12" totalsRowFunction="sum" headerRowDxfId="1445" dataDxfId="1444" totalsRowDxfId="1443">
      <calculatedColumnFormula>Res[[#This Row],[Column10]]-Res[[#This Row],[Column11]]</calculatedColumnFormula>
    </tableColumn>
    <tableColumn id="13" xr3:uid="{F1CA84E8-5400-49BC-9D0C-9A742CFE70E9}" name="Column13" totalsRowFunction="custom" headerRowDxfId="1442" dataDxfId="1441" totalsRowDxfId="1440">
      <calculatedColumnFormula>IFERROR(N9/M9,0)</calculatedColumnFormula>
      <totalsRowFormula>IFERROR(Res[[#Totals],[Column11]]/Res[[#Totals],[Column10]],0)</totalsRowFormula>
    </tableColumn>
    <tableColumn id="35" xr3:uid="{1F93DFCC-632D-4646-80AD-F6EE2BC9EFB2}" name="Column34" totalsRowFunction="custom" headerRowDxfId="1439" dataDxfId="1438" totalsRowDxfId="1437">
      <totalsRowFormula>IFERROR(Res[[#Totals],[Column10]]/Res[[#Totals],[Column7]],0)</totalsRowFormula>
    </tableColumn>
    <tableColumn id="23" xr3:uid="{17155D12-1EB9-4738-9433-64C064AE0C80}" name="Column23" totalsRowFunction="sum" headerRowDxfId="1436" dataDxfId="1435" totalsRowDxfId="1434"/>
    <tableColumn id="27" xr3:uid="{5435F41C-A01E-46F9-9E9B-E86C1D713642}" name="Column27" totalsRowFunction="sum" headerRowDxfId="1433" dataDxfId="1432" totalsRowDxfId="1431"/>
    <tableColumn id="31" xr3:uid="{322DEC9D-85E6-4DF9-B9BF-90109F1C9129}" name="Column28" totalsRowFunction="sum" headerRowDxfId="1430" dataDxfId="1429" totalsRowDxfId="1428">
      <calculatedColumnFormula>Res[[#This Row],[Column23]]-Res[[#This Row],[Column27]]</calculatedColumnFormula>
    </tableColumn>
    <tableColumn id="34" xr3:uid="{51247766-2EA9-4A19-8388-FBBFCD9AA46D}" name="Column33" totalsRowFunction="custom" headerRowDxfId="1427" dataDxfId="1426" totalsRowDxfId="1425">
      <calculatedColumnFormula>IFERROR(Res[[#This Row],[Column27]]/Res[[#This Row],[Column23]],0)</calculatedColumnFormula>
      <totalsRowFormula>IFERROR(Res[[#Totals],[Column27]]/Res[[#Totals],[Column23]],0)</totalsRowFormula>
    </tableColumn>
    <tableColumn id="15" xr3:uid="{A65564D1-D4A2-4A93-A5D2-789BB2C05DF3}" name="Column15" totalsRowFunction="sum" headerRowDxfId="1424" dataDxfId="1423" totalsRowDxfId="1422"/>
    <tableColumn id="16" xr3:uid="{A6DDF812-20BD-488F-BA43-7E8891C59AB3}" name="Column16" totalsRowFunction="sum" headerRowDxfId="1421" dataDxfId="1420" totalsRowDxfId="1419"/>
    <tableColumn id="17" xr3:uid="{C55EF4E7-AED1-400C-8F1A-B2A7150329D4}" name="Column17" totalsRowFunction="sum" headerRowDxfId="1418" dataDxfId="1417" totalsRowDxfId="1416">
      <calculatedColumnFormula>Res[[#This Row],[Column15]]-Res[[#This Row],[Column16]]</calculatedColumnFormula>
    </tableColumn>
    <tableColumn id="18" xr3:uid="{EC9BA1AB-9423-4AB4-8D93-AFACAACC3F20}" name="Column18" totalsRowFunction="custom" headerRowDxfId="1415" dataDxfId="1414" totalsRowDxfId="1413">
      <calculatedColumnFormula>IFERROR(W11/V11,0)</calculatedColumnFormula>
      <totalsRowFormula>IFERROR(Res[[#Totals],[Column16]]/Res[[#Totals],[Column15]],0)</totalsRowFormula>
    </tableColumn>
    <tableColumn id="19" xr3:uid="{184CC26C-6291-43F5-A510-6938F700F840}" name="Column19" totalsRowFunction="sum" headerRowDxfId="1412" dataDxfId="1411" totalsRowDxfId="1410"/>
    <tableColumn id="20" xr3:uid="{D38A106C-DDD9-4614-8E11-7044AB3CD414}" name="Column20" totalsRowFunction="sum" headerRowDxfId="1409" dataDxfId="1408" totalsRowDxfId="1407"/>
    <tableColumn id="21" xr3:uid="{E4E5C909-8D03-4482-B213-B9D6D8BF7D0A}" name="Column21" totalsRowFunction="sum" headerRowDxfId="1406" dataDxfId="1405" totalsRowDxfId="1404">
      <calculatedColumnFormula>Res[[#This Row],[Column19]]-Res[[#This Row],[Column20]]</calculatedColumnFormula>
    </tableColumn>
    <tableColumn id="22" xr3:uid="{0E38C2A5-78A1-400E-A0C1-084975883C3A}" name="Column22" totalsRowFunction="custom" headerRowDxfId="1403" dataDxfId="1402" totalsRowDxfId="1401">
      <calculatedColumnFormula>IFERROR(AA9/Z9,0)</calculatedColumnFormula>
      <totalsRowFormula>IFERROR(Res[[#Totals],[Column20]]/Res[[#Totals],[Column19]],0)</totalsRowFormula>
    </tableColumn>
    <tableColumn id="24" xr3:uid="{3B55EAC5-B2CD-4C20-A798-D746DE5C0AA6}" name="Column24" totalsRowFunction="sum" headerRowDxfId="1400" dataDxfId="1399" totalsRowDxfId="1398"/>
    <tableColumn id="30" xr3:uid="{C6B7C706-0317-4747-B29A-F4B986B14111}" name="Column30" totalsRowFunction="sum" headerRowDxfId="1397" dataDxfId="1396" totalsRowDxfId="1395"/>
    <tableColumn id="29" xr3:uid="{7E1ABCFE-9A54-474C-A33A-E32FEBA70DD0}" name="Column29" totalsRowFunction="sum" headerRowDxfId="1394" dataDxfId="1393" totalsRowDxfId="1392">
      <calculatedColumnFormula>Res[[#This Row],[Column24]]-Res[[#This Row],[Column30]]</calculatedColumnFormula>
    </tableColumn>
    <tableColumn id="25" xr3:uid="{559275D9-6AA9-42C3-AD3A-DA79CC0E050C}" name="Column25" totalsRowFunction="custom" headerRowDxfId="1391" dataDxfId="1390" totalsRowDxfId="1389">
      <calculatedColumnFormula>IFERROR(Res[[#This Row],[Column30]]/Res[[#This Row],[Column24]],0)</calculatedColumnFormula>
      <totalsRowFormula>IFERROR(Res[[#Totals],[Column30]]/Res[[#Totals],[Column24]],0)</totalsRowFormula>
    </tableColumn>
    <tableColumn id="26" xr3:uid="{6AA2C654-1DE9-4706-8F6B-020ECC69BA46}" name="Column26" totalsRowFunction="custom" headerRowDxfId="1388" dataDxfId="1387" totalsRowDxfId="1386">
      <calculatedColumnFormula>IFERROR(Res[[#This Row],[Column24]]/Res[[#This Row],[Column19]],0)</calculatedColumnFormula>
      <totalsRowFormula>IFERROR(Res[[#Totals],[Column24]]/Res[[#Totals],[Column19]],0)</totalsRowFormula>
    </tableColumn>
    <tableColumn id="28" xr3:uid="{AB3B485C-4E5B-4107-A4D3-15974C58CCB5}" name="Column232" headerRowDxfId="1385" dataDxfId="1384" totalsRowDxfId="1383"/>
  </tableColumns>
  <tableStyleInfo name="TableStyleMedium2"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6EFA419C-0DA2-4082-8014-D320AF8A4B12}" name="Exp" displayName="Exp" ref="A9:AI13" headerRowCount="0" totalsRowCount="1" headerRowDxfId="1382" dataDxfId="1381" totalsRowDxfId="1379" tableBorderDxfId="1380">
  <tableColumns count="35">
    <tableColumn id="1" xr3:uid="{0C6DA438-AF0B-4B0E-84E2-1A77D434337F}" name="Column1" headerRowDxfId="1378" dataDxfId="1377" totalsRowDxfId="1376"/>
    <tableColumn id="2" xr3:uid="{58402ED8-0DFC-4D0E-8CED-A2514E995E6B}" name="Column2" headerRowDxfId="1375" dataDxfId="1374" totalsRowDxfId="1373"/>
    <tableColumn id="3" xr3:uid="{A9AEC066-3CBC-430E-83A1-FE083E019217}" name="Column3" headerRowDxfId="1372" dataDxfId="1371" totalsRowDxfId="1370"/>
    <tableColumn id="4" xr3:uid="{BAC0DC56-8271-417E-AC94-99EFFE8CEC41}" name="Column4" totalsRowLabel="SubTotal" headerRowDxfId="1369" dataDxfId="1368" totalsRowDxfId="1367"/>
    <tableColumn id="5" xr3:uid="{08F6EBF5-1B61-4EC3-826A-A0210BFF4258}" name="Column5" headerRowDxfId="1366" dataDxfId="1365" totalsRowDxfId="1364"/>
    <tableColumn id="6" xr3:uid="{09B36D24-C268-48B0-B9DC-1FD6C84CE62B}" name="Column6" headerRowDxfId="1363" dataDxfId="1362" totalsRowDxfId="1361"/>
    <tableColumn id="33" xr3:uid="{7891A474-F2FF-4484-9D53-FB3960AFD40F}" name="Column32" headerRowDxfId="1360" dataDxfId="1359" totalsRowDxfId="1358"/>
    <tableColumn id="32" xr3:uid="{DF065351-E3EE-4EB3-A57D-D51793816A60}" name="Column31" headerRowDxfId="1357" dataDxfId="1356" totalsRowDxfId="1355"/>
    <tableColumn id="7" xr3:uid="{2639F7C1-DA9F-480B-B5EA-AE15FC4C6B4F}" name="Column7" totalsRowFunction="sum" headerRowDxfId="1354" dataDxfId="1353" totalsRowDxfId="1352"/>
    <tableColumn id="8" xr3:uid="{5EF2EE07-CF7F-471C-BF45-C699E021FA35}" name="Column8" totalsRowFunction="sum" headerRowDxfId="1351" dataDxfId="1350" totalsRowDxfId="1349"/>
    <tableColumn id="9" xr3:uid="{C3F1626E-E60D-414C-8483-F0AF996C97B3}" name="Column9" totalsRowFunction="sum" headerRowDxfId="1348" dataDxfId="1347" totalsRowDxfId="1346">
      <calculatedColumnFormula>Exp[[#This Row],[Column7]]-Exp[[#This Row],[Column8]]</calculatedColumnFormula>
    </tableColumn>
    <tableColumn id="14" xr3:uid="{04350614-A434-419A-B9EC-72D8FBE54992}" name="Column14" totalsRowFunction="custom" headerRowDxfId="1345" dataDxfId="1344" totalsRowDxfId="1343">
      <calculatedColumnFormula>IFERROR(Exp[[#This Row],[Column8]]/Exp[[#This Row],[Column7]],0)</calculatedColumnFormula>
      <totalsRowFormula>IFERROR(Exp[[#Totals],[Column8]]/Exp[[#Totals],[Column7]],0)</totalsRowFormula>
    </tableColumn>
    <tableColumn id="10" xr3:uid="{575A5D25-5C51-464F-AC17-06C3DAB8D932}" name="Column10" totalsRowFunction="sum" headerRowDxfId="1342" dataDxfId="1341" totalsRowDxfId="1340"/>
    <tableColumn id="11" xr3:uid="{3DE513D6-4580-4F7F-B6E0-2B1EBDF37F22}" name="Column11" totalsRowFunction="sum" headerRowDxfId="1339" dataDxfId="1338" totalsRowDxfId="1337"/>
    <tableColumn id="12" xr3:uid="{0D9616A1-C0CF-4E06-BC65-3E313570A0BB}" name="Column12" totalsRowFunction="sum" headerRowDxfId="1336" dataDxfId="1335" totalsRowDxfId="1334">
      <calculatedColumnFormula>Exp[[#This Row],[Column10]]-Exp[[#This Row],[Column11]]</calculatedColumnFormula>
    </tableColumn>
    <tableColumn id="13" xr3:uid="{BDACC8A8-7DA0-451A-B9D7-5AC4B06EB810}" name="Column13" totalsRowFunction="custom" headerRowDxfId="1333" dataDxfId="1332" totalsRowDxfId="1331">
      <calculatedColumnFormula>IFERROR(N9/M9,0)</calculatedColumnFormula>
      <totalsRowFormula>Exp[[#Totals],[Column27]]+Exp[[#Totals],[Column28]]</totalsRowFormula>
    </tableColumn>
    <tableColumn id="35" xr3:uid="{101AE062-CE50-4EC6-A313-83B38D21CF21}" name="Column34" totalsRowFunction="custom" headerRowDxfId="1330" dataDxfId="1329" totalsRowDxfId="1328">
      <totalsRowFormula>IFERROR(Exp[[#Totals],[Column10]]/Exp[[#Totals],[Column7]],0)</totalsRowFormula>
    </tableColumn>
    <tableColumn id="23" xr3:uid="{2C36E484-36E6-4DA9-9A0F-C895A896C02F}" name="Column23" totalsRowFunction="sum" headerRowDxfId="1327" dataDxfId="1326" totalsRowDxfId="1325"/>
    <tableColumn id="27" xr3:uid="{30ACED40-53D5-4D7D-974F-F726B9D19333}" name="Column27" totalsRowFunction="sum" headerRowDxfId="1324" dataDxfId="1323" totalsRowDxfId="1322"/>
    <tableColumn id="31" xr3:uid="{16415AEF-CF90-4876-8587-21E3CF3B27F0}" name="Column28" totalsRowFunction="sum" headerRowDxfId="1321" dataDxfId="1320" totalsRowDxfId="1319">
      <calculatedColumnFormula>Exp[[#This Row],[Column23]]-Exp[[#This Row],[Column27]]</calculatedColumnFormula>
    </tableColumn>
    <tableColumn id="34" xr3:uid="{75C4E0A6-76AB-4E1E-AF38-A2854100CEE3}" name="Column33" totalsRowFunction="custom" headerRowDxfId="1318" dataDxfId="1317" totalsRowDxfId="1316">
      <calculatedColumnFormula>IFERROR(Exp[[#This Row],[Column27]]/Exp[[#This Row],[Column23]],0)</calculatedColumnFormula>
      <totalsRowFormula>IFERROR(Exp[[#Totals],[Column27]]/Exp[[#Totals],[Column23]],0)</totalsRowFormula>
    </tableColumn>
    <tableColumn id="15" xr3:uid="{0B4B1DC8-CB3D-4D1D-838F-8A38E3357481}" name="Column15" totalsRowFunction="sum" headerRowDxfId="1315" dataDxfId="1314" totalsRowDxfId="1313"/>
    <tableColumn id="16" xr3:uid="{73A19870-27CD-4FFD-9862-4A65733B03CF}" name="Column16" totalsRowFunction="sum" headerRowDxfId="1312" dataDxfId="1311" totalsRowDxfId="1310"/>
    <tableColumn id="17" xr3:uid="{6A975758-D5C7-49AF-8ED0-83C2702DB515}" name="Column17" totalsRowFunction="sum" headerRowDxfId="1309" dataDxfId="1308" totalsRowDxfId="1307"/>
    <tableColumn id="18" xr3:uid="{74375C27-4D89-4FD7-B942-E50E3C6B37BE}" name="Column18" totalsRowFunction="custom" headerRowDxfId="1306" dataDxfId="1305" totalsRowDxfId="1304">
      <calculatedColumnFormula>IFERROR(W11/V11,0)</calculatedColumnFormula>
      <totalsRowFormula>IFERROR(Exp[[#Totals],[Column16]]/Exp[[#Totals],[Column15]],0)</totalsRowFormula>
    </tableColumn>
    <tableColumn id="19" xr3:uid="{AF4A2EF3-C38C-4527-AA15-AC1D7350969F}" name="Column19" totalsRowFunction="sum" headerRowDxfId="1303" dataDxfId="1302" totalsRowDxfId="1301"/>
    <tableColumn id="20" xr3:uid="{CFBF9801-FDD6-4937-942A-1A9A6D84377A}" name="Column20" totalsRowFunction="sum" headerRowDxfId="1300" dataDxfId="1299" totalsRowDxfId="1298"/>
    <tableColumn id="21" xr3:uid="{520CB57D-7482-42F4-B555-0342027AD8B3}" name="Column21" totalsRowFunction="sum" headerRowDxfId="1297" dataDxfId="1296" totalsRowDxfId="1295">
      <calculatedColumnFormula>Exp[[#This Row],[Column19]]-Exp[[#This Row],[Column20]]</calculatedColumnFormula>
    </tableColumn>
    <tableColumn id="22" xr3:uid="{7929D3EB-2245-4E77-9BB2-02864A97973A}" name="Column22" totalsRowFunction="custom" headerRowDxfId="1294" dataDxfId="1293" totalsRowDxfId="1292">
      <calculatedColumnFormula>IFERROR(AA9/Z9,0)</calculatedColumnFormula>
      <totalsRowFormula>IFERROR(Exp[[#Totals],[Column20]]/Exp[[#Totals],[Column19]],0)</totalsRowFormula>
    </tableColumn>
    <tableColumn id="24" xr3:uid="{597B0C34-10AC-43D4-9E12-73A0C8777337}" name="Column24" totalsRowFunction="sum" headerRowDxfId="1291" dataDxfId="1290" totalsRowDxfId="1289"/>
    <tableColumn id="30" xr3:uid="{8AC2060D-11A1-4E89-A936-0E51C99FC6E0}" name="Column30" totalsRowFunction="sum" headerRowDxfId="1288" dataDxfId="1287" totalsRowDxfId="1286"/>
    <tableColumn id="29" xr3:uid="{A5B99800-3EDE-4897-907F-CE34A2E29568}" name="Column29" totalsRowFunction="sum" headerRowDxfId="1285" dataDxfId="1284" totalsRowDxfId="1283">
      <calculatedColumnFormula>Exp[[#This Row],[Column24]]-Exp[[#This Row],[Column30]]</calculatedColumnFormula>
    </tableColumn>
    <tableColumn id="25" xr3:uid="{781A999B-1E3F-4812-9406-3B65F8056684}" name="Column25" totalsRowFunction="custom" headerRowDxfId="1282" dataDxfId="1281" totalsRowDxfId="1280">
      <calculatedColumnFormula>IFERROR(Exp[[#This Row],[Column30]]/Exp[[#This Row],[Column24]],0)</calculatedColumnFormula>
      <totalsRowFormula>IFERROR(Exp[[#Totals],[Column30]]/Exp[[#Totals],[Column24]],0)</totalsRowFormula>
    </tableColumn>
    <tableColumn id="26" xr3:uid="{23C3FB42-8F08-455E-B82C-10AFF16DE975}" name="Column26" totalsRowFunction="custom" headerRowDxfId="1279" dataDxfId="1278" totalsRowDxfId="1277">
      <calculatedColumnFormula>IFERROR(Exp[[#This Row],[Column24]]/Exp[[#This Row],[Column19]],0)</calculatedColumnFormula>
      <totalsRowFormula>IFERROR(Exp[[#Totals],[Column24]]/Exp[[#Totals],[Column19]],0)</totalsRowFormula>
    </tableColumn>
    <tableColumn id="28" xr3:uid="{83FB0CE1-C117-408B-86D2-73E06672EE74}" name="Column232" headerRowDxfId="1276" dataDxfId="1275" totalsRowDxfId="1274"/>
  </tableColumns>
  <tableStyleInfo name="TableStyleMedium2"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EFC2D528-DFC1-45A2-AFAD-63EDA48772BC}" name="Trans" displayName="Trans" ref="A9:AI13" headerRowCount="0" totalsRowCount="1" headerRowDxfId="1273" dataDxfId="1272" totalsRowDxfId="1270" tableBorderDxfId="1271">
  <tableColumns count="35">
    <tableColumn id="1" xr3:uid="{A3AEF01E-CC81-4263-9A86-81047AD6FE43}" name="Column1" headerRowDxfId="1269" dataDxfId="1268" totalsRowDxfId="1267"/>
    <tableColumn id="2" xr3:uid="{1C98AA62-FE42-445E-8B76-28F55A06F9C4}" name="Column2" headerRowDxfId="1266" dataDxfId="1265" totalsRowDxfId="1264"/>
    <tableColumn id="3" xr3:uid="{EA9ADE59-8D40-4702-BB86-B16B431A4913}" name="Column3" headerRowDxfId="1263" dataDxfId="1262" totalsRowDxfId="1261"/>
    <tableColumn id="4" xr3:uid="{DDC2BBDA-1E94-4207-ACE4-19F7F0961B8F}" name="Column4" totalsRowLabel="SubTotal" headerRowDxfId="1260" dataDxfId="1259" totalsRowDxfId="1258"/>
    <tableColumn id="5" xr3:uid="{C31D753A-F131-4110-B631-50274773D42D}" name="Column5" headerRowDxfId="1257" dataDxfId="1256" totalsRowDxfId="1255"/>
    <tableColumn id="6" xr3:uid="{39D4CA5D-89CD-4976-A66A-E8A7CC6F1C47}" name="Column6" headerRowDxfId="1254" dataDxfId="1253" totalsRowDxfId="1252"/>
    <tableColumn id="33" xr3:uid="{735A834F-BF17-4DB7-ADB3-11B787D08AEE}" name="Column32" headerRowDxfId="1251" dataDxfId="1250" totalsRowDxfId="1249"/>
    <tableColumn id="32" xr3:uid="{8EC7CAB7-AF19-4275-AA4E-FAFA8527D062}" name="Column31" headerRowDxfId="1248" dataDxfId="1247" totalsRowDxfId="1246"/>
    <tableColumn id="7" xr3:uid="{7F0F4061-2597-4FA3-8380-240EBA5B585F}" name="Column7" totalsRowFunction="sum" headerRowDxfId="1245" dataDxfId="1244" totalsRowDxfId="1243"/>
    <tableColumn id="8" xr3:uid="{DE159B10-474F-46DB-9325-11F64F7D1649}" name="Column8" totalsRowFunction="sum" headerRowDxfId="1242" dataDxfId="1241" totalsRowDxfId="1240"/>
    <tableColumn id="9" xr3:uid="{470F7419-3642-4469-BC51-F26B64425CF4}" name="Column9" totalsRowFunction="sum" headerRowDxfId="1239" dataDxfId="1238" totalsRowDxfId="1237">
      <calculatedColumnFormula>Trans[[#This Row],[Column7]]-Trans[[#This Row],[Column8]]</calculatedColumnFormula>
    </tableColumn>
    <tableColumn id="14" xr3:uid="{9295AFBC-AE46-4F29-A11B-BA2A5AF90294}" name="Column14" totalsRowFunction="custom" headerRowDxfId="1236" dataDxfId="1235" totalsRowDxfId="1234">
      <calculatedColumnFormula>IFERROR(Trans[[#This Row],[Column8]]/Trans[[#This Row],[Column7]],0)</calculatedColumnFormula>
      <totalsRowFormula>IFERROR(Trans[[#Totals],[Column8]]/Trans[[#Totals],[Column7]],0)</totalsRowFormula>
    </tableColumn>
    <tableColumn id="10" xr3:uid="{0824E3D6-356E-4314-A264-9EC1BC8B32BD}" name="Column10" totalsRowFunction="sum" headerRowDxfId="1233" dataDxfId="1232" totalsRowDxfId="1231"/>
    <tableColumn id="11" xr3:uid="{01E054E5-505C-48FA-B2E4-7E5A4B1ECA74}" name="Column11" totalsRowFunction="sum" headerRowDxfId="1230" dataDxfId="1229" totalsRowDxfId="1228"/>
    <tableColumn id="12" xr3:uid="{525ED050-BE17-4EA8-A818-B6019A2A8270}" name="Column12" totalsRowFunction="sum" headerRowDxfId="1227" dataDxfId="1226" totalsRowDxfId="1225">
      <calculatedColumnFormula>Trans[[#This Row],[Column10]]-Trans[[#This Row],[Column11]]</calculatedColumnFormula>
    </tableColumn>
    <tableColumn id="13" xr3:uid="{98EDC518-8FF9-4404-9264-9062E97754F6}" name="Column13" totalsRowFunction="custom" headerRowDxfId="1224" dataDxfId="1223" totalsRowDxfId="1222">
      <calculatedColumnFormula>IFERROR(N9/M9,0)</calculatedColumnFormula>
      <totalsRowFormula>IFERROR(Trans[[#Totals],[Column11]]/Trans[[#Totals],[Column10]],0)</totalsRowFormula>
    </tableColumn>
    <tableColumn id="35" xr3:uid="{56157952-3D44-4BCA-B5B6-9AF5BB2BF8B6}" name="Column34" totalsRowFunction="custom" headerRowDxfId="1221" dataDxfId="1220" totalsRowDxfId="1219">
      <totalsRowFormula>IFERROR(Trans[[#Totals],[Column10]]/Trans[[#Totals],[Column7]],0)</totalsRowFormula>
    </tableColumn>
    <tableColumn id="23" xr3:uid="{C322AAF8-86F0-4B11-B55D-6C181E15223B}" name="Column23" totalsRowFunction="sum" headerRowDxfId="1218" dataDxfId="1217" totalsRowDxfId="1216"/>
    <tableColumn id="27" xr3:uid="{700B9054-F07D-44A2-93A2-AD48D782AB5D}" name="Column27" totalsRowFunction="sum" headerRowDxfId="1215" dataDxfId="1214" totalsRowDxfId="1213"/>
    <tableColumn id="31" xr3:uid="{594B90DD-302E-4638-849D-0FB69CC804FD}" name="Column28" totalsRowFunction="sum" headerRowDxfId="1212" dataDxfId="1211" totalsRowDxfId="1210">
      <calculatedColumnFormula>Trans[[#This Row],[Column23]]-Trans[[#This Row],[Column27]]</calculatedColumnFormula>
    </tableColumn>
    <tableColumn id="34" xr3:uid="{96500A3E-C98B-439B-8C5B-D2911090E6F2}" name="Column33" totalsRowFunction="custom" headerRowDxfId="1209" dataDxfId="1208" totalsRowDxfId="1207">
      <calculatedColumnFormula>IFERROR(Trans[[#This Row],[Column27]]/Trans[[#This Row],[Column23]],0)</calculatedColumnFormula>
      <totalsRowFormula>IFERROR(Trans[[#Totals],[Column27]]/Trans[[#Totals],[Column23]],0)</totalsRowFormula>
    </tableColumn>
    <tableColumn id="15" xr3:uid="{057A8B47-6FFE-4D16-8609-E64C6FF9BBD6}" name="Column15" totalsRowFunction="sum" headerRowDxfId="1206" dataDxfId="1205" totalsRowDxfId="1204"/>
    <tableColumn id="16" xr3:uid="{A4F97BFC-40A1-4AD1-ABE3-66FD412D8981}" name="Column16" totalsRowFunction="sum" headerRowDxfId="1203" dataDxfId="1202" totalsRowDxfId="1201"/>
    <tableColumn id="17" xr3:uid="{50E3F7B2-1DD4-44D3-9936-4923F68A1F6E}" name="Column17" totalsRowFunction="sum" headerRowDxfId="1200" dataDxfId="1199" totalsRowDxfId="1198">
      <calculatedColumnFormula>Trans[[#This Row],[Column15]]-Trans[[#This Row],[Column16]]</calculatedColumnFormula>
    </tableColumn>
    <tableColumn id="18" xr3:uid="{3FE8CF3D-83A4-4BEA-B539-7380A822F59A}" name="Column18" totalsRowFunction="custom" headerRowDxfId="1197" dataDxfId="1196" totalsRowDxfId="1195">
      <calculatedColumnFormula>IFERROR(W9/V9,0)</calculatedColumnFormula>
      <totalsRowFormula>IFERROR(Trans[[#Totals],[Column16]]/Trans[[#Totals],[Column15]],0)</totalsRowFormula>
    </tableColumn>
    <tableColumn id="19" xr3:uid="{6278B1E0-60F9-4649-BA9B-BF2355B9B331}" name="Column19" totalsRowFunction="sum" headerRowDxfId="1194" dataDxfId="1193" totalsRowDxfId="1192"/>
    <tableColumn id="20" xr3:uid="{FED55A96-9276-402E-85BF-CA4F3C2993DB}" name="Column20" totalsRowFunction="sum" headerRowDxfId="1191" dataDxfId="1190" totalsRowDxfId="1189"/>
    <tableColumn id="21" xr3:uid="{B75450FD-CE40-499B-B70F-182CD54ACD02}" name="Column21" totalsRowFunction="sum" headerRowDxfId="1188" dataDxfId="1187" totalsRowDxfId="1186">
      <calculatedColumnFormula>Trans[[#This Row],[Column19]]-Trans[[#This Row],[Column20]]</calculatedColumnFormula>
    </tableColumn>
    <tableColumn id="22" xr3:uid="{9C22855A-B708-4055-B314-6C73D24F6D48}" name="Column22" totalsRowFunction="custom" headerRowDxfId="1185" dataDxfId="1184" totalsRowDxfId="1183">
      <calculatedColumnFormula>IFERROR(AA9/Z9,0)</calculatedColumnFormula>
      <totalsRowFormula>IFERROR(Trans[[#Totals],[Column20]]/Trans[[#Totals],[Column19]],0)</totalsRowFormula>
    </tableColumn>
    <tableColumn id="24" xr3:uid="{4B908C0F-A1BA-4E4B-8394-9CA57837F2C1}" name="Column24" totalsRowFunction="sum" headerRowDxfId="1182" dataDxfId="1181" totalsRowDxfId="1180">
      <calculatedColumnFormula>Trans[[#This Row],[Column30]]+Trans[[#This Row],[Column29]]</calculatedColumnFormula>
    </tableColumn>
    <tableColumn id="30" xr3:uid="{E0066A13-C0D1-493C-B455-9D3566F1D76A}" name="Column30" totalsRowFunction="sum" headerRowDxfId="1179" dataDxfId="1178" totalsRowDxfId="1177"/>
    <tableColumn id="29" xr3:uid="{023E74B6-44F9-41A4-9051-0B5E1D965A71}" name="Column29" totalsRowFunction="sum" headerRowDxfId="1176" dataDxfId="1175" totalsRowDxfId="1174">
      <calculatedColumnFormula>Trans[[#This Row],[Column24]]-Trans[[#This Row],[Column30]]</calculatedColumnFormula>
    </tableColumn>
    <tableColumn id="25" xr3:uid="{9037A88A-A9D7-405C-B077-AA8F4FA7B704}" name="Column25" totalsRowFunction="custom" headerRowDxfId="1173" dataDxfId="1172" totalsRowDxfId="1171">
      <calculatedColumnFormula>IFERROR(Trans[[#This Row],[Column30]]/Trans[[#This Row],[Column24]],0)</calculatedColumnFormula>
      <totalsRowFormula>IFERROR(Trans[[#Totals],[Column30]]/Trans[[#Totals],[Column24]],0)</totalsRowFormula>
    </tableColumn>
    <tableColumn id="26" xr3:uid="{9BD09107-F23F-406C-B56E-35F9189C5E92}" name="Column26" totalsRowFunction="custom" headerRowDxfId="1170" dataDxfId="1169" totalsRowDxfId="1168">
      <calculatedColumnFormula>IFERROR(Trans[[#This Row],[Column24]]/Trans[[#This Row],[Column19]],0)</calculatedColumnFormula>
      <totalsRowFormula>IFERROR(Trans[[#Totals],[Column24]]/Trans[[#Totals],[Column19]],0)</totalsRowFormula>
    </tableColumn>
    <tableColumn id="28" xr3:uid="{8D768D19-F58D-437E-AF9E-90292FFC9343}" name="Column232" headerRowDxfId="1167" dataDxfId="1166" totalsRowDxfId="1165"/>
  </tableColumns>
  <tableStyleInfo name="TableStyleMedium2"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E1D91FCF-D1CA-4A4C-A2EF-10BA47D91E8B}" name="Health" displayName="Health" ref="A9:AI13" headerRowCount="0" totalsRowCount="1" headerRowDxfId="1164" dataDxfId="1163" totalsRowDxfId="1161" tableBorderDxfId="1162">
  <tableColumns count="35">
    <tableColumn id="1" xr3:uid="{F6E68FE5-406A-46B8-A4E5-DA320816429F}" name="Column1" headerRowDxfId="1160" dataDxfId="1159" totalsRowDxfId="1158"/>
    <tableColumn id="2" xr3:uid="{C50B6E97-ACDE-406D-A502-0299395F53BA}" name="Column2" headerRowDxfId="1157" dataDxfId="1156" totalsRowDxfId="1155"/>
    <tableColumn id="3" xr3:uid="{7D8F32DD-64FB-44D0-9EA4-DD94FB982023}" name="Column3" headerRowDxfId="1154" dataDxfId="1153" totalsRowDxfId="1152"/>
    <tableColumn id="4" xr3:uid="{66C84526-5A8F-46BC-ABFE-3A8CE8AB8687}" name="Column4" totalsRowLabel="SubTotal" headerRowDxfId="1151" dataDxfId="1150" totalsRowDxfId="1149"/>
    <tableColumn id="5" xr3:uid="{E0F867BB-22C5-4A5C-B63B-9B132B54FBF5}" name="Column5" headerRowDxfId="1148" dataDxfId="1147" totalsRowDxfId="1146"/>
    <tableColumn id="6" xr3:uid="{67B396C1-6719-4402-8BDE-8F856BD4EFBF}" name="Column6" headerRowDxfId="1145" dataDxfId="1144" totalsRowDxfId="1143"/>
    <tableColumn id="33" xr3:uid="{41833B5E-2AEC-44C3-AA5D-494F51F89685}" name="Column32" headerRowDxfId="1142" dataDxfId="1141" totalsRowDxfId="1140"/>
    <tableColumn id="32" xr3:uid="{A5C8ADE2-E0DE-45E3-BDF4-C86230482F1F}" name="Column31" headerRowDxfId="1139" dataDxfId="1138" totalsRowDxfId="1137"/>
    <tableColumn id="35" xr3:uid="{9B5FBCA6-E6D9-432E-B876-2F06FA2EE2B7}" name="Column7" totalsRowFunction="sum" headerRowDxfId="1136" dataDxfId="1135" totalsRowDxfId="1134"/>
    <tableColumn id="36" xr3:uid="{2FAE6934-B7BC-4219-886A-86B7B6F88DA7}" name="Column8" totalsRowFunction="sum" headerRowDxfId="1133" dataDxfId="1132" totalsRowDxfId="1131"/>
    <tableColumn id="37" xr3:uid="{BFF496AB-F911-4033-8DB5-48901B650131}" name="Column9" totalsRowFunction="sum" headerRowDxfId="1130" dataDxfId="1129" totalsRowDxfId="1128">
      <calculatedColumnFormula>Health[[#This Row],[Column7]]-Health[[#This Row],[Column8]]</calculatedColumnFormula>
    </tableColumn>
    <tableColumn id="38" xr3:uid="{902196FF-E6A5-448D-8385-5237AD751581}" name="Column14" totalsRowFunction="custom" headerRowDxfId="1127" dataDxfId="1126" totalsRowDxfId="1125">
      <calculatedColumnFormula>IFERROR(Health[[#This Row],[Column8]]/Health[[#This Row],[Column7]],0)</calculatedColumnFormula>
      <totalsRowFormula>IFERROR(Health[[#Totals],[Column8]]/Health[[#Totals],[Column7]],0)</totalsRowFormula>
    </tableColumn>
    <tableColumn id="10" xr3:uid="{3AD9B5AE-937D-4174-8724-73B62BB8A0DE}" name="Column10" totalsRowFunction="sum" headerRowDxfId="1124" dataDxfId="1123" totalsRowDxfId="1122"/>
    <tableColumn id="11" xr3:uid="{F8E64305-AAB7-4E58-B7DD-F749CFB7DA12}" name="Column11" totalsRowFunction="sum" headerRowDxfId="1121" dataDxfId="1120" totalsRowDxfId="1119"/>
    <tableColumn id="12" xr3:uid="{5F62C965-E98B-49F5-B9AE-0DAE8E11ABA3}" name="Column12" totalsRowFunction="sum" headerRowDxfId="1118" dataDxfId="1117" totalsRowDxfId="1116">
      <calculatedColumnFormula>Health[[#This Row],[Column10]]-Health[[#This Row],[Column11]]</calculatedColumnFormula>
    </tableColumn>
    <tableColumn id="13" xr3:uid="{B69D1F08-ED2D-40F2-97CF-710770AE1A83}" name="Column13" totalsRowFunction="custom" headerRowDxfId="1115" dataDxfId="1114" totalsRowDxfId="1113">
      <calculatedColumnFormula>IFERROR(N9/M9,0)</calculatedColumnFormula>
      <totalsRowFormula>IFERROR(Health[[#Totals],[Column11]]/Health[[#Totals],[Column10]],0)</totalsRowFormula>
    </tableColumn>
    <tableColumn id="7" xr3:uid="{49EEA7C6-8713-4DA5-95B0-0A83AF031EA2}" name="Column34" totalsRowFunction="custom" headerRowDxfId="1112" dataDxfId="1111" totalsRowDxfId="1110">
      <totalsRowFormula>IFERROR(Health[[#Totals],[Column10]]/Health[[#Totals],[Column7]],0)</totalsRowFormula>
    </tableColumn>
    <tableColumn id="39" xr3:uid="{55BBFE9E-4622-4D83-88AC-352A2441B9B1}" name="Column23" totalsRowFunction="sum" headerRowDxfId="1109" dataDxfId="1108" totalsRowDxfId="1107"/>
    <tableColumn id="40" xr3:uid="{DC02AFEA-7B60-4EDA-95C6-C7F0BB04C30A}" name="Column27" totalsRowFunction="sum" headerRowDxfId="1106" dataDxfId="1105" totalsRowDxfId="1104"/>
    <tableColumn id="41" xr3:uid="{E5942080-6D40-42BD-A256-080701223155}" name="Column28" totalsRowFunction="sum" headerRowDxfId="1103" dataDxfId="1102" totalsRowDxfId="1101">
      <calculatedColumnFormula>Health[[#This Row],[Column23]]-Health[[#This Row],[Column27]]</calculatedColumnFormula>
    </tableColumn>
    <tableColumn id="42" xr3:uid="{77A116D6-C3F8-41AB-BCE7-35A02FC6D78D}" name="Column33" totalsRowFunction="custom" headerRowDxfId="1100" dataDxfId="1099" totalsRowDxfId="1098">
      <calculatedColumnFormula>IFERROR(Health[[#This Row],[Column27]]/Health[[#This Row],[Column23]],0)</calculatedColumnFormula>
      <totalsRowFormula>IFERROR(Health[[#Totals],[Column27]]/Health[[#Totals],[Column23]],0)</totalsRowFormula>
    </tableColumn>
    <tableColumn id="15" xr3:uid="{B32C37B0-E661-44D2-8983-CD82C3B3B1AF}" name="Column15" totalsRowFunction="sum" headerRowDxfId="1097" dataDxfId="1096" totalsRowDxfId="1095"/>
    <tableColumn id="16" xr3:uid="{60935044-DB57-48B7-B1E8-94CF5EB37399}" name="Column16" totalsRowFunction="sum" headerRowDxfId="1094" dataDxfId="1093" totalsRowDxfId="1092"/>
    <tableColumn id="17" xr3:uid="{EDE8D095-ED77-4560-A26D-58AEBBB7094D}" name="Column17" totalsRowFunction="sum" headerRowDxfId="1091" dataDxfId="1090" totalsRowDxfId="1089">
      <calculatedColumnFormula>Health[[#This Row],[Column15]]-Health[[#This Row],[Column16]]</calculatedColumnFormula>
    </tableColumn>
    <tableColumn id="18" xr3:uid="{2C9D5095-D10E-40F5-8682-B7F38EA973F8}" name="Column18" totalsRowFunction="custom" headerRowDxfId="1088" dataDxfId="1087" totalsRowDxfId="1086">
      <calculatedColumnFormula>IFERROR(W11/V11,0)</calculatedColumnFormula>
      <totalsRowFormula>IFERROR(Health[[#Totals],[Column16]]/Health[[#Totals],[Column15]],0)</totalsRowFormula>
    </tableColumn>
    <tableColumn id="19" xr3:uid="{A40C2A11-EFAE-41D3-8E55-A3D8F26A8B36}" name="Column19" totalsRowFunction="sum" headerRowDxfId="1085" dataDxfId="1084" totalsRowDxfId="1083"/>
    <tableColumn id="20" xr3:uid="{AB654FE0-5895-48F2-BBB9-708DC94681FF}" name="Column20" totalsRowFunction="sum" headerRowDxfId="1082" dataDxfId="1081" totalsRowDxfId="1080"/>
    <tableColumn id="21" xr3:uid="{DDFB2860-78CA-4E88-968E-7D5D0C745603}" name="Column21" totalsRowFunction="sum" headerRowDxfId="1079" dataDxfId="1078" totalsRowDxfId="1077">
      <calculatedColumnFormula>Health[[#This Row],[Column19]]-Health[[#This Row],[Column20]]</calculatedColumnFormula>
    </tableColumn>
    <tableColumn id="22" xr3:uid="{4470C145-72E2-4EA5-9142-DAA2A20972F2}" name="Column22" totalsRowFunction="custom" headerRowDxfId="1076" dataDxfId="1075" totalsRowDxfId="1074">
      <calculatedColumnFormula>IFERROR(AA9/Z9,0)</calculatedColumnFormula>
      <totalsRowFormula>IFERROR(Health[[#Totals],[Column20]]/Health[[#Totals],[Column19]],0)</totalsRowFormula>
    </tableColumn>
    <tableColumn id="24" xr3:uid="{3039DF63-33F1-485C-B015-3B5CCF44D3FB}" name="Column24" totalsRowFunction="sum" headerRowDxfId="1073" dataDxfId="1072" totalsRowDxfId="1071"/>
    <tableColumn id="30" xr3:uid="{F69178D1-D288-4F69-A3C9-3996CC6F177F}" name="Column30" totalsRowFunction="sum" headerRowDxfId="1070" dataDxfId="1069" totalsRowDxfId="1068"/>
    <tableColumn id="29" xr3:uid="{15875BAF-8086-4C46-8F5C-750D94A2126E}" name="Column29" totalsRowFunction="sum" headerRowDxfId="1067" dataDxfId="1066" totalsRowDxfId="1065">
      <calculatedColumnFormula>Health[[#This Row],[Column24]]-Health[[#This Row],[Column30]]</calculatedColumnFormula>
    </tableColumn>
    <tableColumn id="25" xr3:uid="{39063014-4E45-44B2-AD4C-06B5E534B0CA}" name="Column25" totalsRowFunction="custom" headerRowDxfId="1064" dataDxfId="1063" totalsRowDxfId="1062">
      <calculatedColumnFormula>IFERROR(Health[[#This Row],[Column30]]/Health[[#This Row],[Column24]],0)</calculatedColumnFormula>
      <totalsRowFormula>IFERROR(Health[[#Totals],[Column30]]/Health[[#Totals],[Column24]],0)</totalsRowFormula>
    </tableColumn>
    <tableColumn id="26" xr3:uid="{A2EF7191-A549-4ED9-81B2-2D3D2C3C6410}" name="Column26" totalsRowFunction="custom" headerRowDxfId="1061" dataDxfId="1060" totalsRowDxfId="1059">
      <calculatedColumnFormula>IFERROR(Health[[#This Row],[Column24]]/Health[[#This Row],[Column19]],0)</calculatedColumnFormula>
      <totalsRowFormula>IFERROR(Health[[#Totals],[Column24]]/Health[[#Totals],[Column19]],0)</totalsRowFormula>
    </tableColumn>
    <tableColumn id="28" xr3:uid="{9BA08BB2-0A45-49B7-A0C8-400219C71E0C}" name="Column232" headerRowDxfId="1058" dataDxfId="1057" totalsRowDxfId="1056"/>
  </tableColumns>
  <tableStyleInfo name="TableStyleMedium2"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FD82E48F-3D85-4278-94EF-27A23B3F6A5D}" name="Info" displayName="Info" ref="A9:AI13" headerRowCount="0" totalsRowCount="1" headerRowDxfId="1055" dataDxfId="1054" totalsRowDxfId="1052" tableBorderDxfId="1053">
  <tableColumns count="35">
    <tableColumn id="1" xr3:uid="{FAF697A3-2980-40A9-AF6A-A29A0D780A22}" name="Column1" headerRowDxfId="1051" dataDxfId="1050" totalsRowDxfId="1049"/>
    <tableColumn id="2" xr3:uid="{09626186-DFA0-47CB-AB41-54018E4170E8}" name="Column2" headerRowDxfId="1048" dataDxfId="1047" totalsRowDxfId="1046"/>
    <tableColumn id="3" xr3:uid="{80CEA149-EA77-4E90-B1CA-24D3D39ED04C}" name="Column3" headerRowDxfId="1045" dataDxfId="1044" totalsRowDxfId="1043"/>
    <tableColumn id="4" xr3:uid="{38E19A56-22A2-4432-89C7-AEEB8CDE4FA0}" name="Column4" totalsRowLabel="SubTotal" headerRowDxfId="1042" dataDxfId="1041" totalsRowDxfId="1040"/>
    <tableColumn id="5" xr3:uid="{4A3BD9EF-D430-4FE6-81EE-374A897BAC09}" name="Column5" headerRowDxfId="1039" dataDxfId="1038" totalsRowDxfId="1037"/>
    <tableColumn id="6" xr3:uid="{DEA9F5ED-259C-45CB-B0E4-C6B9336D7D35}" name="Column6" headerRowDxfId="1036" dataDxfId="1035" totalsRowDxfId="1034"/>
    <tableColumn id="33" xr3:uid="{637A8E40-FE09-4ADD-BC22-CC970033BC19}" name="Column32" headerRowDxfId="1033" dataDxfId="1032" totalsRowDxfId="1031"/>
    <tableColumn id="32" xr3:uid="{B9FAC98C-6DFB-415F-97E1-FFB284C19F1B}" name="Column31" headerRowDxfId="1030" dataDxfId="1029" totalsRowDxfId="1028"/>
    <tableColumn id="7" xr3:uid="{54D4DAC7-ABD8-4DA9-B5D1-2E4EE2D7A260}" name="Column7" totalsRowFunction="sum" headerRowDxfId="1027" dataDxfId="1026" totalsRowDxfId="1025"/>
    <tableColumn id="8" xr3:uid="{66D214C8-65DB-4A16-A5FB-EB30B5F5C475}" name="Column8" totalsRowFunction="sum" headerRowDxfId="1024" dataDxfId="1023" totalsRowDxfId="1022"/>
    <tableColumn id="9" xr3:uid="{372C570D-A1AD-40ED-AEC7-3F1C092D7B10}" name="Column9" totalsRowFunction="sum" headerRowDxfId="1021" dataDxfId="1020" totalsRowDxfId="1019">
      <calculatedColumnFormula>Info[[#This Row],[Column7]]-Info[[#This Row],[Column8]]</calculatedColumnFormula>
    </tableColumn>
    <tableColumn id="14" xr3:uid="{4986A7D6-E821-4458-B527-DF9005A9C33D}" name="Column14" totalsRowFunction="custom" headerRowDxfId="1018" dataDxfId="1017" totalsRowDxfId="1016">
      <calculatedColumnFormula>IFERROR(Info[[#This Row],[Column8]]/Info[[#This Row],[Column7]],0)</calculatedColumnFormula>
      <totalsRowFormula>IFERROR(Info[[#Totals],[Column8]]/Info[[#Totals],[Column7]],0)</totalsRowFormula>
    </tableColumn>
    <tableColumn id="10" xr3:uid="{D37A19BC-A86E-40F3-A01C-15D280069E4D}" name="Column10" totalsRowFunction="sum" headerRowDxfId="1015" dataDxfId="1014" totalsRowDxfId="1013"/>
    <tableColumn id="11" xr3:uid="{B2E62823-5989-4E63-ABB5-4301950DA402}" name="Column11" totalsRowFunction="sum" headerRowDxfId="1012" dataDxfId="1011" totalsRowDxfId="1010"/>
    <tableColumn id="12" xr3:uid="{6152D39F-13CF-4B68-8079-0BE2693E1B93}" name="Column12" totalsRowFunction="sum" headerRowDxfId="1009" dataDxfId="1008" totalsRowDxfId="1007">
      <calculatedColumnFormula>Info[[#This Row],[Column10]]-Info[[#This Row],[Column11]]</calculatedColumnFormula>
    </tableColumn>
    <tableColumn id="13" xr3:uid="{05C9CC8A-F299-485C-ABE6-F2F148D23CD3}" name="Column13" totalsRowFunction="custom" headerRowDxfId="1006" dataDxfId="1005" totalsRowDxfId="1004">
      <calculatedColumnFormula>IFERROR(N9/M9,0)</calculatedColumnFormula>
      <totalsRowFormula>IFERROR(Info[[#Totals],[Column11]]/Info[[#Totals],[Column10]],0)</totalsRowFormula>
    </tableColumn>
    <tableColumn id="35" xr3:uid="{FC6BCD33-CC07-49F1-B742-27DCA93DB4F9}" name="Column34" totalsRowFunction="custom" headerRowDxfId="1003" dataDxfId="1002" totalsRowDxfId="1001">
      <totalsRowFormula>IFERROR(Info[[#Totals],[Column10]]/Info[[#Totals],[Column7]],0)</totalsRowFormula>
    </tableColumn>
    <tableColumn id="23" xr3:uid="{F84DB59C-A756-464F-9CA7-8F1259B4EDFC}" name="Column23" totalsRowFunction="sum" headerRowDxfId="1000" dataDxfId="999" totalsRowDxfId="998"/>
    <tableColumn id="27" xr3:uid="{5E8FC3E4-C152-4EDA-B7C8-3809BBBD2B49}" name="Column27" totalsRowFunction="sum" headerRowDxfId="997" dataDxfId="996" totalsRowDxfId="995"/>
    <tableColumn id="31" xr3:uid="{62007A5D-5C61-40CC-B327-D92339D5C0C6}" name="Column28" totalsRowFunction="sum" headerRowDxfId="994" dataDxfId="993" totalsRowDxfId="992">
      <calculatedColumnFormula>Info[[#This Row],[Column23]]-Info[[#This Row],[Column27]]</calculatedColumnFormula>
    </tableColumn>
    <tableColumn id="34" xr3:uid="{31B332EE-A418-4098-9D11-6207E1F051CA}" name="Column33" totalsRowFunction="custom" headerRowDxfId="991" dataDxfId="990" totalsRowDxfId="989">
      <calculatedColumnFormula>IFERROR(Info[[#This Row],[Column27]]/Info[[#This Row],[Column23]],0)</calculatedColumnFormula>
      <totalsRowFormula>IFERROR(Info[[#Totals],[Column27]]/Info[[#Totals],[Column23]],0)</totalsRowFormula>
    </tableColumn>
    <tableColumn id="15" xr3:uid="{18F1C38F-3488-4265-A48A-1B411F583167}" name="Column15" totalsRowFunction="sum" headerRowDxfId="988" dataDxfId="987" totalsRowDxfId="986"/>
    <tableColumn id="16" xr3:uid="{6AD47781-DCB1-4392-B24F-EE3624BB1175}" name="Column16" totalsRowFunction="sum" headerRowDxfId="985" dataDxfId="984" totalsRowDxfId="983"/>
    <tableColumn id="17" xr3:uid="{8186880B-D20B-4E88-BE3D-DEE09D0836FD}" name="Column17" totalsRowFunction="sum" headerRowDxfId="982" dataDxfId="981" totalsRowDxfId="980">
      <calculatedColumnFormula>Info[[#This Row],[Column15]]-Info[[#This Row],[Column16]]</calculatedColumnFormula>
    </tableColumn>
    <tableColumn id="18" xr3:uid="{50D08F5F-A903-4B26-9990-6F39E34676DE}" name="Column18" totalsRowFunction="custom" headerRowDxfId="979" dataDxfId="978" totalsRowDxfId="977">
      <calculatedColumnFormula>IFERROR(W11/V11,0)</calculatedColumnFormula>
      <totalsRowFormula>IFERROR(Info[[#Totals],[Column16]]/Info[[#Totals],[Column15]],0)</totalsRowFormula>
    </tableColumn>
    <tableColumn id="19" xr3:uid="{719BBF6C-D38E-4102-8B39-D8CDE956F2F3}" name="Column19" totalsRowFunction="sum" headerRowDxfId="976" dataDxfId="975" totalsRowDxfId="974"/>
    <tableColumn id="20" xr3:uid="{81D4261C-AD3E-42BC-8F15-A9F5C924E0F6}" name="Column20" totalsRowFunction="sum" headerRowDxfId="973" dataDxfId="972" totalsRowDxfId="971"/>
    <tableColumn id="21" xr3:uid="{9820C228-2458-4BF1-BCCE-2D04396DB6C6}" name="Column21" totalsRowFunction="sum" headerRowDxfId="970" dataDxfId="969" totalsRowDxfId="968">
      <calculatedColumnFormula>Info[[#This Row],[Column19]]-Info[[#This Row],[Column20]]</calculatedColumnFormula>
    </tableColumn>
    <tableColumn id="22" xr3:uid="{72F94F4F-7B55-4E3E-A8A1-0161D97EF779}" name="Column22" totalsRowFunction="custom" headerRowDxfId="967" dataDxfId="966" totalsRowDxfId="965">
      <calculatedColumnFormula>IFERROR(AA9/Z9,0)</calculatedColumnFormula>
      <totalsRowFormula>IFERROR(Info[[#Totals],[Column20]]/Info[[#Totals],[Column19]],0)</totalsRowFormula>
    </tableColumn>
    <tableColumn id="24" xr3:uid="{9C57F2BF-3425-4BD3-8263-115F1E648EBA}" name="Column24" totalsRowFunction="sum" headerRowDxfId="964" dataDxfId="963" totalsRowDxfId="962"/>
    <tableColumn id="30" xr3:uid="{A217EF94-7532-4BC1-A250-595F9D52D5E6}" name="Column30" totalsRowFunction="sum" headerRowDxfId="961" dataDxfId="960" totalsRowDxfId="959"/>
    <tableColumn id="29" xr3:uid="{68074428-D8D6-460C-8979-1D2EF3D367BC}" name="Column29" totalsRowFunction="sum" headerRowDxfId="958" dataDxfId="957" totalsRowDxfId="956">
      <calculatedColumnFormula>Info[[#This Row],[Column24]]-Info[[#This Row],[Column30]]</calculatedColumnFormula>
    </tableColumn>
    <tableColumn id="25" xr3:uid="{47770D35-CDAC-4B2E-B740-96F7AD657221}" name="Column25" totalsRowFunction="custom" headerRowDxfId="955" dataDxfId="954" totalsRowDxfId="953">
      <calculatedColumnFormula>IFERROR(Info[[#This Row],[Column30]]/Info[[#This Row],[Column24]],0)</calculatedColumnFormula>
      <totalsRowFormula>IFERROR(Info[[#Totals],[Column30]]/Info[[#Totals],[Column24]],0)</totalsRowFormula>
    </tableColumn>
    <tableColumn id="26" xr3:uid="{E185A9CB-4C85-4F82-82B4-51724AEB7E98}" name="Column26" totalsRowFunction="custom" headerRowDxfId="952" dataDxfId="951" totalsRowDxfId="950">
      <calculatedColumnFormula>IFERROR(Info[[#This Row],[Column24]]/Info[[#This Row],[Column19]],0)</calculatedColumnFormula>
      <totalsRowFormula>IFERROR(Info[[#Totals],[Column24]]/Info[[#Totals],[Column19]],0)</totalsRowFormula>
    </tableColumn>
    <tableColumn id="28" xr3:uid="{F151A732-1885-4BCF-8E8D-F5591F968373}" name="Column232" headerRowDxfId="949" dataDxfId="948" totalsRowDxfId="947"/>
  </tableColumns>
  <tableStyleInfo name="TableStyleMedium2"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59B1A4E-7A49-48B0-BE9C-8918D2E07547}" name="Mar" displayName="Mar" ref="A9:AI13" headerRowCount="0" totalsRowCount="1" headerRowDxfId="946" dataDxfId="945" totalsRowDxfId="943" tableBorderDxfId="944">
  <tableColumns count="35">
    <tableColumn id="1" xr3:uid="{A73E479F-63E5-4FE1-9129-5E7C5E819BC3}" name="Column1" headerRowDxfId="942" dataDxfId="941" totalsRowDxfId="940"/>
    <tableColumn id="2" xr3:uid="{007169C0-30BD-461E-B4B1-49E6B918114C}" name="Column2" headerRowDxfId="939" dataDxfId="938" totalsRowDxfId="937"/>
    <tableColumn id="3" xr3:uid="{2CE630D9-4189-4643-AE3A-794EC53B25EB}" name="Column3" headerRowDxfId="936" dataDxfId="935" totalsRowDxfId="934"/>
    <tableColumn id="4" xr3:uid="{A2847475-1052-4C18-9E94-B4B2611EBE3C}" name="Column4" totalsRowLabel="SubTotal" headerRowDxfId="933" dataDxfId="932" totalsRowDxfId="931"/>
    <tableColumn id="5" xr3:uid="{079833BD-A417-435F-A886-BB396583CCB7}" name="Column5" headerRowDxfId="930" dataDxfId="929" totalsRowDxfId="928"/>
    <tableColumn id="6" xr3:uid="{724D1F54-E1DF-46AF-BE6F-62C398A1689F}" name="Column6" headerRowDxfId="927" dataDxfId="926" totalsRowDxfId="925"/>
    <tableColumn id="33" xr3:uid="{668D7BBE-4512-4F28-95BE-C18D415786CB}" name="Column32" headerRowDxfId="924" dataDxfId="923" totalsRowDxfId="922"/>
    <tableColumn id="32" xr3:uid="{0D76ABD4-4291-4E5A-A33E-D36E9EB667F0}" name="Column31" headerRowDxfId="921" dataDxfId="920" totalsRowDxfId="919"/>
    <tableColumn id="7" xr3:uid="{6EC520ED-4F63-4935-9DE5-39F3C6CA5825}" name="Column7" totalsRowFunction="sum" headerRowDxfId="918" dataDxfId="917" totalsRowDxfId="916"/>
    <tableColumn id="8" xr3:uid="{3B6B4BF6-6D12-4682-AA98-6BCDD6CB0295}" name="Column8" totalsRowFunction="sum" headerRowDxfId="915" dataDxfId="914" totalsRowDxfId="913"/>
    <tableColumn id="9" xr3:uid="{EC56A2BF-1983-4A34-85C1-675FDE067D3F}" name="Column9" totalsRowFunction="sum" headerRowDxfId="912" dataDxfId="911" totalsRowDxfId="910">
      <calculatedColumnFormula>Mar[[#This Row],[Column7]]-Mar[[#This Row],[Column8]]</calculatedColumnFormula>
    </tableColumn>
    <tableColumn id="14" xr3:uid="{587A5930-1B2D-49B5-BD14-CCFC8EB3A07D}" name="Column14" totalsRowFunction="custom" headerRowDxfId="909" dataDxfId="908" totalsRowDxfId="907">
      <calculatedColumnFormula>IFERROR(J9/I9,0)</calculatedColumnFormula>
      <totalsRowFormula>IFERROR(Mar[[#Totals],[Column8]]/Mar[[#Totals],[Column7]],0)</totalsRowFormula>
    </tableColumn>
    <tableColumn id="10" xr3:uid="{36C5608A-CB37-4144-81B7-9124914F0FC7}" name="Column10" totalsRowFunction="sum" headerRowDxfId="906" dataDxfId="905" totalsRowDxfId="904"/>
    <tableColumn id="11" xr3:uid="{E8A8BA40-612B-458B-B8B6-FB315FB5925F}" name="Column11" totalsRowFunction="sum" headerRowDxfId="903" dataDxfId="902" totalsRowDxfId="901"/>
    <tableColumn id="12" xr3:uid="{CA14EACC-B57F-4A88-9559-803A9834041A}" name="Column12" totalsRowFunction="sum" headerRowDxfId="900" dataDxfId="899" totalsRowDxfId="898">
      <calculatedColumnFormula>Mar[[#This Row],[Column10]]-Mar[[#This Row],[Column11]]</calculatedColumnFormula>
    </tableColumn>
    <tableColumn id="13" xr3:uid="{56D35A54-C97B-4D17-A5BB-B981B89C669A}" name="Column13" totalsRowFunction="custom" headerRowDxfId="897" dataDxfId="896" totalsRowDxfId="895">
      <calculatedColumnFormula>IFERROR(N9/M9,0)</calculatedColumnFormula>
      <totalsRowFormula>IFERROR(Mar[[#Totals],[Column11]]/Mar[[#Totals],[Column10]],0)</totalsRowFormula>
    </tableColumn>
    <tableColumn id="35" xr3:uid="{A25982EA-E5E7-4794-BE6A-211535195C12}" name="Column34" totalsRowFunction="custom" headerRowDxfId="894" dataDxfId="893" totalsRowDxfId="892">
      <totalsRowFormula>IFERROR(Mar[[#Totals],[Column10]]/Mar[[#Totals],[Column7]],0)</totalsRowFormula>
    </tableColumn>
    <tableColumn id="23" xr3:uid="{39DB204F-4C42-4A91-8A8E-3A96D41EC6AE}" name="Column23" totalsRowFunction="sum" headerRowDxfId="891" dataDxfId="890" totalsRowDxfId="889"/>
    <tableColumn id="27" xr3:uid="{59CB1525-7563-4303-AB86-BC27CA60DF08}" name="Column27" totalsRowFunction="sum" headerRowDxfId="888" dataDxfId="887" totalsRowDxfId="886"/>
    <tableColumn id="31" xr3:uid="{2E6554B4-9FEA-481E-9430-FC66C67162C6}" name="Column28" totalsRowFunction="sum" headerRowDxfId="885" dataDxfId="884" totalsRowDxfId="883">
      <calculatedColumnFormula>Mar[[#This Row],[Column23]]-Mar[[#This Row],[Column27]]</calculatedColumnFormula>
    </tableColumn>
    <tableColumn id="34" xr3:uid="{D35187E5-5922-4F93-AA2F-DB0F0CB62C51}" name="Column33" totalsRowFunction="custom" headerRowDxfId="882" dataDxfId="881" totalsRowDxfId="880">
      <calculatedColumnFormula>IFERROR(Mar[[#This Row],[Column27]]/Mar[[#This Row],[Column23]],0)</calculatedColumnFormula>
      <totalsRowFormula>IFERROR(Mar[[#Totals],[Column27]]/Mar[[#Totals],[Column23]],0)</totalsRowFormula>
    </tableColumn>
    <tableColumn id="15" xr3:uid="{4B9334F8-30A3-4EF2-A224-29D04D16E4A5}" name="Column15" totalsRowFunction="sum" headerRowDxfId="879" dataDxfId="878" totalsRowDxfId="877"/>
    <tableColumn id="16" xr3:uid="{8C1F63D2-F10B-4B39-9169-E6D162BD8154}" name="Column16" totalsRowFunction="sum" headerRowDxfId="876" dataDxfId="875" totalsRowDxfId="874"/>
    <tableColumn id="17" xr3:uid="{C5484EDE-9595-4B33-8673-753A13AD178E}" name="Column17" totalsRowFunction="sum" headerRowDxfId="873" dataDxfId="872" totalsRowDxfId="871">
      <calculatedColumnFormula>Mar[[#This Row],[Column15]]-Mar[[#This Row],[Column16]]</calculatedColumnFormula>
    </tableColumn>
    <tableColumn id="18" xr3:uid="{B1857A1B-DE27-4A50-8301-559D763C756D}" name="Column18" totalsRowFunction="custom" headerRowDxfId="870" dataDxfId="869" totalsRowDxfId="868">
      <calculatedColumnFormula>IFERROR(W11/V11,0)</calculatedColumnFormula>
      <totalsRowFormula>IFERROR(Mar[[#Totals],[Column16]]/Mar[[#Totals],[Column15]],0)</totalsRowFormula>
    </tableColumn>
    <tableColumn id="19" xr3:uid="{CA8EB5DD-4972-4BE9-A230-30BA715AA249}" name="Column19" totalsRowFunction="sum" headerRowDxfId="867" dataDxfId="866" totalsRowDxfId="865"/>
    <tableColumn id="20" xr3:uid="{F0BB9E6B-F21F-43E1-8F73-850BC184A34A}" name="Column20" totalsRowFunction="sum" headerRowDxfId="864" dataDxfId="863" totalsRowDxfId="862"/>
    <tableColumn id="21" xr3:uid="{3C6E52FB-8A36-4F4A-92A8-E12ECC8E655F}" name="Column21" totalsRowFunction="sum" headerRowDxfId="861" dataDxfId="860" totalsRowDxfId="859">
      <calculatedColumnFormula>Mar[[#This Row],[Column19]]-Mar[[#This Row],[Column20]]</calculatedColumnFormula>
    </tableColumn>
    <tableColumn id="22" xr3:uid="{5C2B4742-4438-4EF1-9E8C-3F55486DDFFD}" name="Column22" totalsRowFunction="custom" headerRowDxfId="858" dataDxfId="857" totalsRowDxfId="856">
      <calculatedColumnFormula>IFERROR(AA9/Z9,0)</calculatedColumnFormula>
      <totalsRowFormula>IFERROR(Mar[[#Totals],[Column20]]/Mar[[#Totals],[Column19]],0)</totalsRowFormula>
    </tableColumn>
    <tableColumn id="24" xr3:uid="{505B7F0D-44F5-4BF0-AC8C-0D1D85F14712}" name="Column24" totalsRowFunction="sum" headerRowDxfId="855" dataDxfId="854" totalsRowDxfId="853"/>
    <tableColumn id="30" xr3:uid="{34C95E7E-5A29-44BD-A1AD-F2F66B36490D}" name="Column30" totalsRowFunction="sum" headerRowDxfId="852" dataDxfId="851" totalsRowDxfId="850"/>
    <tableColumn id="29" xr3:uid="{591FF038-E203-465C-8F86-B1C73361229A}" name="Column29" totalsRowFunction="sum" headerRowDxfId="849" dataDxfId="848" totalsRowDxfId="847">
      <calculatedColumnFormula>Mar[[#This Row],[Column24]]-Mar[[#This Row],[Column30]]</calculatedColumnFormula>
    </tableColumn>
    <tableColumn id="25" xr3:uid="{BECD81FF-9966-4B84-8732-3745E5873614}" name="Column25" totalsRowFunction="custom" headerRowDxfId="846" dataDxfId="845" totalsRowDxfId="844">
      <calculatedColumnFormula>IFERROR(Mar[[#This Row],[Column30]]/Mar[[#This Row],[Column24]],0)</calculatedColumnFormula>
      <totalsRowFormula>IFERROR(Mar[[#Totals],[Column30]]/Mar[[#Totals],[Column24]],0)</totalsRowFormula>
    </tableColumn>
    <tableColumn id="26" xr3:uid="{2830D835-3E10-472D-A5A5-A3484D43E530}" name="Column26" totalsRowFunction="custom" headerRowDxfId="843" dataDxfId="842" totalsRowDxfId="841">
      <calculatedColumnFormula>IFERROR(Mar[[#This Row],[Column24]]/Mar[[#This Row],[Column19]],0)</calculatedColumnFormula>
      <totalsRowFormula>IFERROR(Mar[[#Totals],[Column24]]/Mar[[#Totals],[Column19]],0)</totalsRowFormula>
    </tableColumn>
    <tableColumn id="28" xr3:uid="{C400E1D7-3967-44BF-BBC2-4720BD5D6BAB}" name="Column232" headerRowDxfId="840" dataDxfId="839" totalsRowDxfId="838"/>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D4BFD7A-C3CA-431F-A67F-03BD2163C40B}" name="Engineering6880" displayName="Engineering6880" ref="C26:S31" headerRowCount="0" totalsRowCount="1" headerRowDxfId="2886" dataDxfId="2885" totalsRowDxfId="2883" tableBorderDxfId="2884">
  <tableColumns count="17">
    <tableColumn id="1" xr3:uid="{5A0463A4-4A93-4345-9DDD-53B36E674041}" name="Column1" headerRowDxfId="2882" dataDxfId="2881" totalsRowDxfId="2880"/>
    <tableColumn id="2" xr3:uid="{2668DB0C-6E5B-4D17-9E0B-A6C3ADD74516}" name="Column2" headerRowDxfId="2879" dataDxfId="2878" totalsRowDxfId="2877"/>
    <tableColumn id="3" xr3:uid="{07EDFD79-448F-4F9F-9CC5-2AF9AAA0DFB9}" name="Column3" headerRowDxfId="2876" dataDxfId="2875" totalsRowDxfId="2874"/>
    <tableColumn id="4" xr3:uid="{FB28654B-1739-40F0-BDE7-5EF58B8A7534}" name="Column4" headerRowDxfId="2873" dataDxfId="2872" totalsRowDxfId="2871"/>
    <tableColumn id="5" xr3:uid="{DE7646BC-DF5B-4982-8328-0F0BB117E40F}" name="Column5" headerRowDxfId="2870" dataDxfId="2869" totalsRowDxfId="2868"/>
    <tableColumn id="6" xr3:uid="{23BBBF61-1B7D-428D-8407-9B4ED82669CE}" name="Column6" headerRowDxfId="2867" dataDxfId="2866" totalsRowDxfId="2865"/>
    <tableColumn id="7" xr3:uid="{2F2EF3D4-DF89-4E48-BCE6-05B75B7EC292}" name="Column7" totalsRowFunction="sum" headerRowDxfId="2864" dataDxfId="2863" totalsRowDxfId="2862"/>
    <tableColumn id="8" xr3:uid="{3F8E9CEE-CE28-4285-8DFC-9211DF2A1A71}" name="Column8" totalsRowFunction="sum" headerRowDxfId="2861" dataDxfId="2860" totalsRowDxfId="2859"/>
    <tableColumn id="9" xr3:uid="{3D3F3771-B6D7-4B82-AC68-08583239AECE}" name="Column9" totalsRowFunction="sum" headerRowDxfId="2858" dataDxfId="2857" totalsRowDxfId="2856">
      <calculatedColumnFormula>Engineering6880[[#This Row],[Column7]]-Engineering6880[[#This Row],[Column8]]</calculatedColumnFormula>
    </tableColumn>
    <tableColumn id="10" xr3:uid="{D863E8AC-9AD9-4FB9-BA38-C9A4B2536156}" name="Column10" totalsRowFunction="custom" headerRowDxfId="2855" dataDxfId="2854" totalsRowDxfId="2853">
      <calculatedColumnFormula>IFERROR(J26/I26,0)</calculatedColumnFormula>
      <totalsRowFormula>IFERROR(J31/I31,0)</totalsRowFormula>
    </tableColumn>
    <tableColumn id="11" xr3:uid="{EBDD6622-3366-46CB-B6FC-09B7B75409EE}" name="Column11" totalsRowFunction="sum" headerRowDxfId="2852" dataDxfId="2851" totalsRowDxfId="2850"/>
    <tableColumn id="12" xr3:uid="{74955864-832F-48EE-8A3B-FCC769E784C9}" name="Column12" totalsRowFunction="sum" headerRowDxfId="2849" dataDxfId="2848" totalsRowDxfId="2847"/>
    <tableColumn id="13" xr3:uid="{1D6C9B40-D23D-4C82-9FFD-10F447DA7751}" name="Column13" totalsRowFunction="sum" headerRowDxfId="2846" dataDxfId="2845" totalsRowDxfId="2844">
      <calculatedColumnFormula>Engineering6880[[#This Row],[Column11]]-Engineering6880[[#This Row],[Column12]]</calculatedColumnFormula>
    </tableColumn>
    <tableColumn id="14" xr3:uid="{0C889B0D-7F60-4960-9B6F-29BBBB468876}" name="Column14" totalsRowFunction="custom" headerRowDxfId="2843" dataDxfId="2842" totalsRowDxfId="2841">
      <calculatedColumnFormula>IFERROR(N26/M26,0)</calculatedColumnFormula>
      <totalsRowFormula>IFERROR(N31/M31,0)</totalsRowFormula>
    </tableColumn>
    <tableColumn id="15" xr3:uid="{C9747BCE-B83E-41A9-88D8-34D70D79C6B4}" name="Column15" totalsRowFunction="sum" headerRowDxfId="2840" dataDxfId="2839" totalsRowDxfId="2838"/>
    <tableColumn id="16" xr3:uid="{E83108B5-660A-4AA4-A623-BEEA1BA61F85}" name="Column16" totalsRowFunction="sum" headerRowDxfId="2837" dataDxfId="2836" totalsRowDxfId="2835"/>
    <tableColumn id="17" xr3:uid="{6E4EDEAB-A373-4570-81B2-804C1FE65F2E}" name="Column17" totalsRowFunction="sum" headerRowDxfId="2834" dataDxfId="2833" totalsRowDxfId="2832">
      <calculatedColumnFormula>Engineering6880[[#This Row],[Column15]]-Engineering6880[[#This Row],[Column16]]</calculatedColumnFormula>
    </tableColumn>
  </tableColumns>
  <tableStyleInfo name="TableStyleMedium2"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7E23EB33-C8B7-4357-9401-83615AA09B64}" name="Fin" displayName="Fin" ref="A9:AI13" headerRowCount="0" totalsRowCount="1" headerRowDxfId="837" dataDxfId="836" totalsRowDxfId="834" tableBorderDxfId="835">
  <tableColumns count="35">
    <tableColumn id="1" xr3:uid="{36BECD9D-AFC9-4AD0-8797-B54B38E4B364}" name="Column1" headerRowDxfId="833" dataDxfId="832" totalsRowDxfId="831"/>
    <tableColumn id="2" xr3:uid="{076BE395-9101-4CA6-9C5F-428D051166C3}" name="Column2" headerRowDxfId="830" dataDxfId="829" totalsRowDxfId="828"/>
    <tableColumn id="3" xr3:uid="{92C2099B-589E-43B6-BB10-B7EC4FC9F581}" name="Column3" headerRowDxfId="827" dataDxfId="826" totalsRowDxfId="825"/>
    <tableColumn id="4" xr3:uid="{D864D4AB-224A-48F3-AF54-E3F60080BE98}" name="Column4" totalsRowLabel="SubTotal" headerRowDxfId="824" dataDxfId="823" totalsRowDxfId="822"/>
    <tableColumn id="5" xr3:uid="{97D6C9F7-9DC9-44AC-8307-6B2EA30AEB2A}" name="Column5" headerRowDxfId="821" dataDxfId="820" totalsRowDxfId="819"/>
    <tableColumn id="6" xr3:uid="{E7E0EB2F-4FE9-41ED-B67A-BCA0330C47DB}" name="Column6" headerRowDxfId="818" dataDxfId="817" totalsRowDxfId="816"/>
    <tableColumn id="33" xr3:uid="{CA40E085-A286-466F-9DAB-D945C7610479}" name="Column32" headerRowDxfId="815" dataDxfId="814" totalsRowDxfId="813"/>
    <tableColumn id="32" xr3:uid="{7890A128-37A3-4E65-81F3-1A33651863A0}" name="Column31" headerRowDxfId="812" dataDxfId="811" totalsRowDxfId="810"/>
    <tableColumn id="7" xr3:uid="{7D575E79-EC2E-4AAE-9814-B0F13996CF60}" name="Column7" totalsRowFunction="sum" headerRowDxfId="809" dataDxfId="808" totalsRowDxfId="807"/>
    <tableColumn id="8" xr3:uid="{F1E65C3E-04B8-4E07-84F2-FB34784E3E11}" name="Column8" totalsRowFunction="sum" headerRowDxfId="806" dataDxfId="805" totalsRowDxfId="804"/>
    <tableColumn id="9" xr3:uid="{998B4572-5C9C-44B6-8C8C-8C7F7B1A4093}" name="Column9" totalsRowFunction="sum" headerRowDxfId="803" dataDxfId="802" totalsRowDxfId="801">
      <calculatedColumnFormula>Fin[[#This Row],[Column7]]-Fin[[#This Row],[Column8]]</calculatedColumnFormula>
    </tableColumn>
    <tableColumn id="14" xr3:uid="{FEE1775B-8D0B-4B28-9D6E-779BE97B4AD4}" name="Column14" totalsRowFunction="custom" headerRowDxfId="800" dataDxfId="799" totalsRowDxfId="798">
      <calculatedColumnFormula>IFERROR(Fin[[#This Row],[Column8]]/Fin[[#This Row],[Column7]],0)</calculatedColumnFormula>
      <totalsRowFormula>IFERROR(Fin[[#Totals],[Column8]]/Fin[[#Totals],[Column7]],0)</totalsRowFormula>
    </tableColumn>
    <tableColumn id="10" xr3:uid="{A7B8AF1E-5FA4-4450-B68B-124500012FF7}" name="Column10" totalsRowFunction="sum" headerRowDxfId="797" dataDxfId="796" totalsRowDxfId="795"/>
    <tableColumn id="11" xr3:uid="{98375D49-203D-41D0-AC7F-0D5ADA46497B}" name="Column11" totalsRowFunction="sum" headerRowDxfId="794" dataDxfId="793" totalsRowDxfId="792"/>
    <tableColumn id="12" xr3:uid="{056394BC-F476-478B-946B-15278348CF68}" name="Column12" totalsRowFunction="sum" headerRowDxfId="791" dataDxfId="790" totalsRowDxfId="789">
      <calculatedColumnFormula>Fin[[#This Row],[Column10]]-Fin[[#This Row],[Column11]]</calculatedColumnFormula>
    </tableColumn>
    <tableColumn id="13" xr3:uid="{79859A70-29D0-46AC-B8E0-3E02C4AAE118}" name="Column13" totalsRowFunction="custom" headerRowDxfId="788" dataDxfId="787" totalsRowDxfId="786">
      <calculatedColumnFormula>IFERROR(N9/M9,0)</calculatedColumnFormula>
      <totalsRowFormula>IFERROR(Fin[[#Totals],[Column11]]/Fin[[#Totals],[Column10]],0)</totalsRowFormula>
    </tableColumn>
    <tableColumn id="35" xr3:uid="{F8D4FB64-1191-4C83-B772-82FA10EBFF62}" name="Column34" totalsRowFunction="custom" headerRowDxfId="785" dataDxfId="784" totalsRowDxfId="783">
      <totalsRowFormula>IFERROR(Fin[[#Totals],[Column10]]/Fin[[#Totals],[Column7]],0)</totalsRowFormula>
    </tableColumn>
    <tableColumn id="23" xr3:uid="{008111DA-BD15-42CE-B2FB-603AFE1EDB21}" name="Column23" totalsRowFunction="sum" headerRowDxfId="782" dataDxfId="781" totalsRowDxfId="780"/>
    <tableColumn id="27" xr3:uid="{D0EDFF42-3EF6-4EB3-B439-F49E923497FE}" name="Column27" totalsRowFunction="sum" headerRowDxfId="779" dataDxfId="778" totalsRowDxfId="777"/>
    <tableColumn id="31" xr3:uid="{5B759C30-0E58-4A65-A258-1A2E7D4DE7EC}" name="Column28" totalsRowFunction="sum" headerRowDxfId="776" dataDxfId="775" totalsRowDxfId="774">
      <calculatedColumnFormula>Fin[[#This Row],[Column23]]-Fin[[#This Row],[Column27]]</calculatedColumnFormula>
    </tableColumn>
    <tableColumn id="34" xr3:uid="{BEA7FD94-6FF6-47A9-A664-3CD0D37926E7}" name="Column33" totalsRowFunction="custom" headerRowDxfId="773" dataDxfId="772" totalsRowDxfId="771">
      <calculatedColumnFormula>IFERROR(Fin[[#This Row],[Column27]]/Fin[[#This Row],[Column23]],0)</calculatedColumnFormula>
      <totalsRowFormula>IFERROR(Fin[[#Totals],[Column27]]/Fin[[#Totals],[Column23]],0)</totalsRowFormula>
    </tableColumn>
    <tableColumn id="15" xr3:uid="{6539E2AF-80E6-4072-9F4C-C3603E838AA6}" name="Column15" totalsRowFunction="sum" headerRowDxfId="770" dataDxfId="769" totalsRowDxfId="768"/>
    <tableColumn id="16" xr3:uid="{554F8642-ADD6-463A-BCDD-12F17C881E86}" name="Column16" totalsRowFunction="sum" headerRowDxfId="767" dataDxfId="766" totalsRowDxfId="765"/>
    <tableColumn id="17" xr3:uid="{8715A05F-1B42-442B-B15D-9CEF9E909AF2}" name="Column17" totalsRowFunction="sum" headerRowDxfId="764" dataDxfId="763" totalsRowDxfId="762"/>
    <tableColumn id="18" xr3:uid="{7114ADE9-32E3-4A77-8194-0E30D7A6AAD3}" name="Column18" totalsRowFunction="custom" headerRowDxfId="761" dataDxfId="760" totalsRowDxfId="759">
      <calculatedColumnFormula>IFERROR(W11/V11,0)</calculatedColumnFormula>
      <totalsRowFormula>IFERROR(Fin[[#Totals],[Column16]]/Fin[[#Totals],[Column15]],0)</totalsRowFormula>
    </tableColumn>
    <tableColumn id="19" xr3:uid="{3E0C305F-C5CA-439F-B911-1AA963282827}" name="Column19" totalsRowFunction="sum" headerRowDxfId="758" dataDxfId="757" totalsRowDxfId="756"/>
    <tableColumn id="20" xr3:uid="{CF69B8A3-604D-49E6-B126-90948D592BEA}" name="Column20" totalsRowFunction="sum" headerRowDxfId="755" dataDxfId="754" totalsRowDxfId="753"/>
    <tableColumn id="21" xr3:uid="{13F83B44-929B-4D5D-9A20-473652236DDE}" name="Column21" totalsRowFunction="sum" headerRowDxfId="752" dataDxfId="751" totalsRowDxfId="750">
      <calculatedColumnFormula>Fin[[#This Row],[Column19]]-Fin[[#This Row],[Column20]]</calculatedColumnFormula>
    </tableColumn>
    <tableColumn id="22" xr3:uid="{6679F636-0221-47DF-9E82-7FE8BF0FA9AD}" name="Column22" totalsRowFunction="custom" headerRowDxfId="749" dataDxfId="748" totalsRowDxfId="747">
      <calculatedColumnFormula>IFERROR(AA9/Z9,0)</calculatedColumnFormula>
      <totalsRowFormula>IFERROR(Fin[[#Totals],[Column20]]/Fin[[#Totals],[Column19]],0)</totalsRowFormula>
    </tableColumn>
    <tableColumn id="24" xr3:uid="{81F7D120-0999-456F-B308-DECE34B9D721}" name="Column24" totalsRowFunction="sum" headerRowDxfId="746" dataDxfId="745" totalsRowDxfId="744"/>
    <tableColumn id="30" xr3:uid="{FA9075A1-4F0C-485E-B16D-7F6AE195F190}" name="Column30" totalsRowFunction="sum" headerRowDxfId="743" dataDxfId="742" totalsRowDxfId="741"/>
    <tableColumn id="29" xr3:uid="{2EA4BD3F-F891-4AFD-851E-2C732CAF45A5}" name="Column29" totalsRowFunction="sum" headerRowDxfId="740" dataDxfId="739" totalsRowDxfId="738">
      <calculatedColumnFormula>Fin[[#This Row],[Column24]]-Fin[[#This Row],[Column30]]</calculatedColumnFormula>
    </tableColumn>
    <tableColumn id="25" xr3:uid="{9759C067-1F4D-4B8D-868A-1181CB094399}" name="Column25" totalsRowFunction="custom" headerRowDxfId="737" dataDxfId="736" totalsRowDxfId="735">
      <calculatedColumnFormula>IFERROR(Fin[[#This Row],[Column30]]/Fin[[#This Row],[Column24]],0)</calculatedColumnFormula>
      <totalsRowFormula>IFERROR(Fin[[#Totals],[Column30]]/Fin[[#Totals],[Column24]],0)</totalsRowFormula>
    </tableColumn>
    <tableColumn id="26" xr3:uid="{FC436B8B-F429-4598-A210-31E8806FD5AB}" name="Column26" totalsRowFunction="custom" headerRowDxfId="734" dataDxfId="733" totalsRowDxfId="732">
      <calculatedColumnFormula>IFERROR(Fin[[#This Row],[Column24]]/Fin[[#This Row],[Column19]],0)</calculatedColumnFormula>
      <totalsRowFormula>IFERROR(Fin[[#Totals],[Column24]]/Fin[[#Totals],[Column19]],0)</totalsRowFormula>
    </tableColumn>
    <tableColumn id="28" xr3:uid="{284CEBC2-5C55-46C9-AD28-4F6EE5B4F844}" name="Column232" headerRowDxfId="731" dataDxfId="730" totalsRowDxfId="729"/>
  </tableColumns>
  <tableStyleInfo name="TableStyleMedium2"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9FDB72C8-6EB1-45FA-8F9B-F00EFFDDA9DC}" name="Inst" displayName="Inst" ref="A9:AI13" headerRowCount="0" totalsRowCount="1" headerRowDxfId="728" dataDxfId="727" totalsRowDxfId="725" tableBorderDxfId="726">
  <tableColumns count="35">
    <tableColumn id="1" xr3:uid="{E5B134DD-8870-4C4F-9C6D-DFAE33728260}" name="Column1" headerRowDxfId="724" totalsRowDxfId="723"/>
    <tableColumn id="2" xr3:uid="{D3692EC8-644E-4ACE-B762-897475F1F425}" name="Column2" headerRowDxfId="722" totalsRowDxfId="721"/>
    <tableColumn id="3" xr3:uid="{024AE03B-9BC1-4AB2-A6CD-BF3CEAD9FB63}" name="Column3" headerRowDxfId="720" totalsRowDxfId="719"/>
    <tableColumn id="4" xr3:uid="{61DC4D24-388F-4390-A2F8-9D6F82F8AE4E}" name="Column4" totalsRowLabel="SubTotal" headerRowDxfId="718" totalsRowDxfId="717"/>
    <tableColumn id="5" xr3:uid="{C104FD0E-F52C-476F-B0EC-C638F9689BAB}" name="Column5" headerRowDxfId="716" totalsRowDxfId="715"/>
    <tableColumn id="6" xr3:uid="{174A8B23-FFEF-4DE4-8F6C-E6FDF6243C5D}" name="Column6" headerRowDxfId="714" totalsRowDxfId="713"/>
    <tableColumn id="33" xr3:uid="{812825CA-ADF5-4EDB-A112-C8E7623E5423}" name="Column32" headerRowDxfId="712" totalsRowDxfId="711"/>
    <tableColumn id="32" xr3:uid="{374B8D25-8630-4D05-8382-CEFF04E1CB8D}" name="Column31" headerRowDxfId="710" totalsRowDxfId="709"/>
    <tableColumn id="7" xr3:uid="{BE3C508A-592F-45F0-8E33-6D3E99873240}" name="Column7" totalsRowFunction="sum" headerRowDxfId="708" totalsRowDxfId="707"/>
    <tableColumn id="8" xr3:uid="{BED9CD28-E189-40EC-83DF-B2EE530AF8F1}" name="Column8" totalsRowFunction="sum" headerRowDxfId="706" totalsRowDxfId="705"/>
    <tableColumn id="9" xr3:uid="{D3E78E9B-8A58-49E1-9724-2C0D75A00BD7}" name="Column9" totalsRowFunction="sum" headerRowDxfId="704" totalsRowDxfId="703">
      <calculatedColumnFormula>Inst[[#This Row],[Column7]]-Inst[[#This Row],[Column8]]</calculatedColumnFormula>
    </tableColumn>
    <tableColumn id="14" xr3:uid="{B3B9FCC4-7B55-4001-8CF8-915D386CF496}" name="Column14" totalsRowFunction="custom" headerRowDxfId="702" totalsRowDxfId="701">
      <calculatedColumnFormula>IFERROR(Inst[[#This Row],[Column8]]/Inst[[#This Row],[Column7]],0)</calculatedColumnFormula>
      <totalsRowFormula>IFERROR(Inst[[#Totals],[Column8]]/Inst[[#Totals],[Column7]],0)</totalsRowFormula>
    </tableColumn>
    <tableColumn id="10" xr3:uid="{BC8777DB-B86F-4A6C-86E2-800D2B39965C}" name="Column10" totalsRowFunction="sum" headerRowDxfId="700" totalsRowDxfId="699"/>
    <tableColumn id="11" xr3:uid="{4BF65BC2-A45A-428D-8B13-0C2ECB25666D}" name="Column11" totalsRowFunction="sum" headerRowDxfId="698" totalsRowDxfId="697"/>
    <tableColumn id="12" xr3:uid="{6FDA1A99-1F46-492D-8185-BA02ECF03215}" name="Column12" totalsRowFunction="sum" headerRowDxfId="696" totalsRowDxfId="695">
      <calculatedColumnFormula>Inst[[#This Row],[Column10]]-Inst[[#This Row],[Column11]]</calculatedColumnFormula>
    </tableColumn>
    <tableColumn id="13" xr3:uid="{170A6530-D4C4-4B75-9E74-57701FF357C3}" name="Column13" totalsRowFunction="custom" headerRowDxfId="694" totalsRowDxfId="693">
      <calculatedColumnFormula>IFERROR(N9/M9,0)</calculatedColumnFormula>
      <totalsRowFormula>IFERROR(Inst[[#Totals],[Column11]]/Inst[[#Totals],[Column10]],0)</totalsRowFormula>
    </tableColumn>
    <tableColumn id="35" xr3:uid="{7209F328-367E-4E6A-974D-71200C9ED480}" name="Column34" totalsRowFunction="custom" headerRowDxfId="692" dataDxfId="691" totalsRowDxfId="690">
      <totalsRowFormula>IFERROR(Inst[[#Totals],[Column10]]/Inst[[#Totals],[Column7]],0)</totalsRowFormula>
    </tableColumn>
    <tableColumn id="23" xr3:uid="{73F89E43-18DD-42F2-BC60-EA4453312027}" name="Column23" totalsRowFunction="sum" headerRowDxfId="689" totalsRowDxfId="688"/>
    <tableColumn id="27" xr3:uid="{150D9BDF-3440-4792-BB3D-F2A4FDE222E9}" name="Column27" totalsRowFunction="sum" headerRowDxfId="687" totalsRowDxfId="686"/>
    <tableColumn id="31" xr3:uid="{60965701-B4EB-4893-A463-700BA93938C1}" name="Column28" totalsRowFunction="sum" headerRowDxfId="685" totalsRowDxfId="684">
      <calculatedColumnFormula>Inst[[#This Row],[Column23]]-Inst[[#This Row],[Column27]]</calculatedColumnFormula>
    </tableColumn>
    <tableColumn id="34" xr3:uid="{6FF6DAB3-70B4-4E26-A513-BFAA540D0D80}" name="Column33" totalsRowFunction="custom" headerRowDxfId="683" totalsRowDxfId="682">
      <calculatedColumnFormula>IFERROR(Inst[[#This Row],[Column27]]/Inst[[#This Row],[Column23]],0)</calculatedColumnFormula>
      <totalsRowFormula>IFERROR(Inst[[#Totals],[Column27]]/Inst[[#Totals],[Column23]],0)</totalsRowFormula>
    </tableColumn>
    <tableColumn id="15" xr3:uid="{17EF05DC-184A-4111-BA79-3769E3E177CC}" name="Column15" totalsRowFunction="sum" headerRowDxfId="681" totalsRowDxfId="680"/>
    <tableColumn id="16" xr3:uid="{EB2A609A-20AF-4A72-995E-C2B2E8B342CC}" name="Column16" totalsRowFunction="sum" headerRowDxfId="679" totalsRowDxfId="678"/>
    <tableColumn id="17" xr3:uid="{F680C2EA-7BF3-427C-8742-88960E07E426}" name="Column17" totalsRowFunction="sum" headerRowDxfId="677" totalsRowDxfId="676">
      <calculatedColumnFormula>Inst[[#This Row],[Column15]]-Inst[[#This Row],[Column16]]</calculatedColumnFormula>
    </tableColumn>
    <tableColumn id="18" xr3:uid="{B6A03835-8B10-4EC6-AE1D-19F08E14C92D}" name="Column18" totalsRowFunction="custom" headerRowDxfId="675" totalsRowDxfId="674">
      <calculatedColumnFormula>IFERROR(W9/V9,0)</calculatedColumnFormula>
      <totalsRowFormula>IFERROR(Inst[[#Totals],[Column16]]/Inst[[#Totals],[Column15]],0)</totalsRowFormula>
    </tableColumn>
    <tableColumn id="19" xr3:uid="{4E7148D6-48F3-4021-9119-C3E440E7CC86}" name="Column19" totalsRowFunction="sum" headerRowDxfId="673" totalsRowDxfId="672"/>
    <tableColumn id="20" xr3:uid="{54AB6A1A-594B-493A-AAE5-8A14CA9B319A}" name="Column20" totalsRowFunction="sum" headerRowDxfId="671" totalsRowDxfId="670"/>
    <tableColumn id="21" xr3:uid="{166C5E19-7CE8-4004-B13A-3A5A1CBEFD27}" name="Column21" totalsRowFunction="sum" headerRowDxfId="669" totalsRowDxfId="668">
      <calculatedColumnFormula>Inst[[#This Row],[Column19]]-Inst[[#This Row],[Column20]]</calculatedColumnFormula>
    </tableColumn>
    <tableColumn id="22" xr3:uid="{CDF52605-567B-4522-8532-8AD83807F9FA}" name="Column22" totalsRowFunction="custom" headerRowDxfId="667" totalsRowDxfId="666">
      <calculatedColumnFormula>IFERROR(AA9/Z9,0)</calculatedColumnFormula>
      <totalsRowFormula>IFERROR(Inst[[#Totals],[Column20]]/Inst[[#Totals],[Column19]],0)</totalsRowFormula>
    </tableColumn>
    <tableColumn id="24" xr3:uid="{25F92654-486D-4E1A-905E-16A3B0E1A2EE}" name="Column24" totalsRowFunction="sum" headerRowDxfId="665" totalsRowDxfId="664"/>
    <tableColumn id="30" xr3:uid="{744019D2-EC8C-4D63-AF24-9DBD709EE864}" name="Column30" totalsRowFunction="sum" headerRowDxfId="663" totalsRowDxfId="662"/>
    <tableColumn id="29" xr3:uid="{AA7AAA85-2EA1-4825-B586-35902146EBA5}" name="Column29" totalsRowFunction="sum" headerRowDxfId="661" totalsRowDxfId="660">
      <calculatedColumnFormula>Inst[[#This Row],[Column24]]-Inst[[#This Row],[Column30]]</calculatedColumnFormula>
    </tableColumn>
    <tableColumn id="25" xr3:uid="{DA604464-6783-4124-86AE-E5980527B393}" name="Column25" totalsRowFunction="custom" headerRowDxfId="659" totalsRowDxfId="658">
      <calculatedColumnFormula>IFERROR(Inst[[#This Row],[Column30]]/Inst[[#This Row],[Column24]],0)</calculatedColumnFormula>
      <totalsRowFormula>IFERROR(Inst[[#Totals],[Column30]]/Inst[[#Totals],[Column24]],0)</totalsRowFormula>
    </tableColumn>
    <tableColumn id="26" xr3:uid="{E28EBDA0-EE1D-4B71-9901-AE70D5E69801}" name="Column26" totalsRowFunction="custom" headerRowDxfId="657" totalsRowDxfId="656">
      <calculatedColumnFormula>IFERROR(Inst[[#This Row],[Column24]]/Inst[[#This Row],[Column19]],0)</calculatedColumnFormula>
      <totalsRowFormula>IFERROR(Inst[[#Totals],[Column24]]/Inst[[#Totals],[Column19]],0)</totalsRowFormula>
    </tableColumn>
    <tableColumn id="28" xr3:uid="{21B08140-70EE-4276-A2A5-6E7D09EEE366}" name="Column232" headerRowDxfId="655" totalsRowDxfId="654"/>
  </tableColumns>
  <tableStyleInfo name="TableStyleMedium2"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6BC28B61-C32F-4DFB-BCC1-A8801D4B2904}" name="Insp" displayName="Insp" ref="A9:AI13" headerRowCount="0" totalsRowCount="1" headerRowDxfId="653" dataDxfId="652" totalsRowDxfId="650" tableBorderDxfId="651">
  <tableColumns count="35">
    <tableColumn id="1" xr3:uid="{E1D88E98-0A5D-408A-AE59-FE0BB7207AE0}" name="Column1" headerRowDxfId="649" dataDxfId="648" totalsRowDxfId="647"/>
    <tableColumn id="2" xr3:uid="{F30EEF92-D3E3-4966-BC77-DF6B26D8A24D}" name="Column2" headerRowDxfId="646" dataDxfId="645" totalsRowDxfId="644"/>
    <tableColumn id="3" xr3:uid="{462DD044-A0F0-401F-928F-C878E2588824}" name="Column3" headerRowDxfId="643" dataDxfId="642" totalsRowDxfId="641"/>
    <tableColumn id="4" xr3:uid="{5E726CE5-A66A-4AB7-AAB6-1E6321445F0F}" name="Column4" totalsRowLabel="SubTotal" headerRowDxfId="640" dataDxfId="639" totalsRowDxfId="638"/>
    <tableColumn id="5" xr3:uid="{61C17AD8-164D-4B14-A6B8-9EC14B65F0AC}" name="Column5" headerRowDxfId="637" dataDxfId="636" totalsRowDxfId="635"/>
    <tableColumn id="6" xr3:uid="{3BFCAB15-7B08-48EF-AD81-88AABEECD5DF}" name="Column6" headerRowDxfId="634" dataDxfId="633" totalsRowDxfId="632"/>
    <tableColumn id="33" xr3:uid="{BAE629FE-4031-482B-8C4E-587CAA1322B9}" name="Column32" headerRowDxfId="631" dataDxfId="630" totalsRowDxfId="629"/>
    <tableColumn id="32" xr3:uid="{923217BE-4352-4559-9DEA-EFE1738E2E1F}" name="Column31" headerRowDxfId="628" dataDxfId="627" totalsRowDxfId="626"/>
    <tableColumn id="7" xr3:uid="{DAE887A9-405F-4F6B-9887-38259F0AEFB6}" name="Column7" totalsRowFunction="sum" headerRowDxfId="625" dataDxfId="624" totalsRowDxfId="623"/>
    <tableColumn id="8" xr3:uid="{7B0331D8-F149-4930-A760-F853B1921F99}" name="Column8" totalsRowFunction="sum" headerRowDxfId="622" dataDxfId="621" totalsRowDxfId="620"/>
    <tableColumn id="9" xr3:uid="{57A917BB-9954-40C7-8286-83ED5AA1E8AB}" name="Column9" totalsRowFunction="sum" headerRowDxfId="619" dataDxfId="618" totalsRowDxfId="617">
      <calculatedColumnFormula>Insp[[#This Row],[Column7]]-Insp[[#This Row],[Column8]]</calculatedColumnFormula>
    </tableColumn>
    <tableColumn id="14" xr3:uid="{539E9CC1-31B7-484E-BB16-665BFAE05D09}" name="Column14" totalsRowFunction="custom" headerRowDxfId="616" dataDxfId="615" totalsRowDxfId="614">
      <calculatedColumnFormula>IFERROR(Insp[[#This Row],[Column8]]/Insp[[#This Row],[Column7]],0)</calculatedColumnFormula>
      <totalsRowFormula>IFERROR(Insp[[#Totals],[Column8]]/Insp[[#Totals],[Column7]],0)</totalsRowFormula>
    </tableColumn>
    <tableColumn id="10" xr3:uid="{13720A0B-64D3-4316-A007-66EC2DCC8D8C}" name="Column10" totalsRowFunction="sum" headerRowDxfId="613" dataDxfId="612" totalsRowDxfId="611"/>
    <tableColumn id="11" xr3:uid="{10FDEF33-9C78-49D0-858F-211893710580}" name="Column11" totalsRowFunction="sum" headerRowDxfId="610" dataDxfId="609" totalsRowDxfId="608"/>
    <tableColumn id="12" xr3:uid="{A48083C9-D266-4DC7-B9A2-D96BE6A46253}" name="Column12" totalsRowFunction="sum" headerRowDxfId="607" dataDxfId="606" totalsRowDxfId="605">
      <calculatedColumnFormula>Insp[[#This Row],[Column10]]-Insp[[#This Row],[Column11]]</calculatedColumnFormula>
    </tableColumn>
    <tableColumn id="13" xr3:uid="{1F623E37-B36B-4F5D-AC9A-4CC6202AF921}" name="Column13" totalsRowFunction="custom" headerRowDxfId="604" dataDxfId="603" totalsRowDxfId="602">
      <calculatedColumnFormula>IFERROR(N9/M9,0)</calculatedColumnFormula>
      <totalsRowFormula>IFERROR(Insp[[#Totals],[Column11]]/Insp[[#Totals],[Column10]],0)</totalsRowFormula>
    </tableColumn>
    <tableColumn id="35" xr3:uid="{2D3B8E4E-DFC9-46F8-ACF6-2EC907112A16}" name="Column34" totalsRowFunction="custom" headerRowDxfId="601" dataDxfId="600" totalsRowDxfId="599">
      <totalsRowFormula>IFERROR(Insp[[#Totals],[Column10]]/Insp[[#Totals],[Column7]],0)</totalsRowFormula>
    </tableColumn>
    <tableColumn id="23" xr3:uid="{486BE145-C422-4BF8-9D37-DD044C6DB699}" name="Column23" totalsRowFunction="sum" headerRowDxfId="598" dataDxfId="597" totalsRowDxfId="596"/>
    <tableColumn id="27" xr3:uid="{AA48F50C-3E60-493B-B977-0DF8942BBB2A}" name="Column27" totalsRowFunction="sum" headerRowDxfId="595" dataDxfId="594" totalsRowDxfId="593"/>
    <tableColumn id="31" xr3:uid="{1657E068-028A-492A-ABA8-F12C73A29890}" name="Column28" totalsRowFunction="sum" headerRowDxfId="592" dataDxfId="591" totalsRowDxfId="590">
      <calculatedColumnFormula>Insp[[#This Row],[Column23]]-Insp[[#This Row],[Column27]]</calculatedColumnFormula>
    </tableColumn>
    <tableColumn id="34" xr3:uid="{68FDB217-3964-43DE-A7A1-4DEDC407F9E3}" name="Column33" totalsRowFunction="custom" headerRowDxfId="589" dataDxfId="588" totalsRowDxfId="587">
      <calculatedColumnFormula>IFERROR(Insp[[#This Row],[Column27]]/Insp[[#This Row],[Column23]],0)</calculatedColumnFormula>
      <totalsRowFormula>IFERROR(Insp[[#Totals],[Column27]]/Insp[[#Totals],[Column23]],0)</totalsRowFormula>
    </tableColumn>
    <tableColumn id="15" xr3:uid="{3CB75CD2-DEA6-4266-B5BF-0B3E1AB8F601}" name="Column15" totalsRowFunction="sum" headerRowDxfId="586" dataDxfId="585" totalsRowDxfId="584"/>
    <tableColumn id="16" xr3:uid="{C352801E-4DD9-4E35-94F9-3443A625572D}" name="Column16" totalsRowFunction="sum" headerRowDxfId="583" dataDxfId="582" totalsRowDxfId="581"/>
    <tableColumn id="17" xr3:uid="{C536AE46-08AD-4338-A02F-37DE2B45959F}" name="Column17" totalsRowFunction="sum" headerRowDxfId="580" dataDxfId="579" totalsRowDxfId="578">
      <calculatedColumnFormula>Insp[[#This Row],[Column15]]-Insp[[#This Row],[Column16]]</calculatedColumnFormula>
    </tableColumn>
    <tableColumn id="18" xr3:uid="{14FA23E6-07D8-4F49-8C45-294446BFE90B}" name="Column18" totalsRowFunction="custom" headerRowDxfId="577" dataDxfId="576" totalsRowDxfId="575">
      <calculatedColumnFormula>IFERROR(W9/V9,0)</calculatedColumnFormula>
      <totalsRowFormula>IFERROR(Insp[[#Totals],[Column16]]/Insp[[#Totals],[Column15]],0)</totalsRowFormula>
    </tableColumn>
    <tableColumn id="19" xr3:uid="{5F6BE92C-4A75-4421-97A0-23148FC96B32}" name="Column19" totalsRowFunction="sum" headerRowDxfId="574" dataDxfId="573" totalsRowDxfId="572"/>
    <tableColumn id="20" xr3:uid="{30D6D8F8-4503-4A0F-AD86-24051E3FC0EC}" name="Column20" totalsRowFunction="sum" headerRowDxfId="571" dataDxfId="570" totalsRowDxfId="569"/>
    <tableColumn id="21" xr3:uid="{6BBE0011-9BDE-4B14-B8B9-DC28C7AA11E6}" name="Column21" totalsRowFunction="sum" headerRowDxfId="568" dataDxfId="567" totalsRowDxfId="566">
      <calculatedColumnFormula>Insp[[#This Row],[Column19]]-Insp[[#This Row],[Column20]]</calculatedColumnFormula>
    </tableColumn>
    <tableColumn id="22" xr3:uid="{6BDDFA31-6886-4228-A416-1971DBB131CB}" name="Column22" totalsRowFunction="custom" headerRowDxfId="565" dataDxfId="564" totalsRowDxfId="563">
      <calculatedColumnFormula>IFERROR(AA9/Z9,0)</calculatedColumnFormula>
      <totalsRowFormula>IFERROR(Insp[[#Totals],[Column20]]/Insp[[#Totals],[Column19]],0)</totalsRowFormula>
    </tableColumn>
    <tableColumn id="24" xr3:uid="{72810C14-B5B9-4804-AC33-60459EA390BF}" name="Column24" totalsRowFunction="sum" headerRowDxfId="562" dataDxfId="561" totalsRowDxfId="560"/>
    <tableColumn id="30" xr3:uid="{A3EB4E54-E4DB-4402-B239-8027895788D4}" name="Column30" totalsRowFunction="sum" headerRowDxfId="559" dataDxfId="558" totalsRowDxfId="557"/>
    <tableColumn id="29" xr3:uid="{079A684E-F2E0-4DBD-AC1E-751DB7D8D94B}" name="Column29" totalsRowFunction="sum" headerRowDxfId="556" dataDxfId="555" totalsRowDxfId="554">
      <calculatedColumnFormula>Insp[[#This Row],[Column24]]-Insp[[#This Row],[Column30]]</calculatedColumnFormula>
    </tableColumn>
    <tableColumn id="25" xr3:uid="{36F80DB7-C201-4FA7-AA30-F494695B57B7}" name="Column25" totalsRowFunction="custom" headerRowDxfId="553" dataDxfId="552" totalsRowDxfId="551">
      <calculatedColumnFormula>IFERROR(Insp[[#This Row],[Column30]]/Insp[[#This Row],[Column24]],0)</calculatedColumnFormula>
      <totalsRowFormula>IFERROR(Insp[[#Totals],[Column30]]/Insp[[#Totals],[Column24]],0)</totalsRowFormula>
    </tableColumn>
    <tableColumn id="26" xr3:uid="{F68C1C40-C197-4187-A25B-B09CC6FAC630}" name="Column26" totalsRowFunction="custom" headerRowDxfId="550" dataDxfId="549" totalsRowDxfId="548">
      <calculatedColumnFormula>IFERROR(Insp[[#This Row],[Column24]]/Insp[[#This Row],[Column19]],0)</calculatedColumnFormula>
      <totalsRowFormula>IFERROR(Insp[[#Totals],[Column24]]/Insp[[#Totals],[Column19]],0)</totalsRowFormula>
    </tableColumn>
    <tableColumn id="28" xr3:uid="{0140ECD9-1C06-4320-B84A-61105850B0F2}" name="Column232" headerRowDxfId="547" dataDxfId="546" totalsRowDxfId="545"/>
  </tableColumns>
  <tableStyleInfo name="TableStyleMedium2"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AA37F3CA-612E-4C64-9C61-953198217B71}" name="Proj" displayName="Proj" ref="A9:AI13" headerRowCount="0" totalsRowCount="1" headerRowDxfId="544" dataDxfId="543" totalsRowDxfId="541" tableBorderDxfId="542">
  <tableColumns count="35">
    <tableColumn id="1" xr3:uid="{9F8BF27A-6535-480F-8CA0-A3B68EF5DF81}" name="Column1" headerRowDxfId="540" dataDxfId="539" totalsRowDxfId="538"/>
    <tableColumn id="2" xr3:uid="{A15C684C-8775-4CA1-A2C3-FF90BC114A9E}" name="Column2" headerRowDxfId="537" dataDxfId="536" totalsRowDxfId="535"/>
    <tableColumn id="3" xr3:uid="{D9BC05CA-7AED-42AD-A0B7-2DB426DFF427}" name="Column3" headerRowDxfId="534" dataDxfId="533" totalsRowDxfId="532"/>
    <tableColumn id="4" xr3:uid="{F359AFEC-7D6F-40AE-90F9-77381306EF48}" name="Column4" totalsRowLabel="SubTotal" headerRowDxfId="531" dataDxfId="530" totalsRowDxfId="529"/>
    <tableColumn id="5" xr3:uid="{DAF2F464-2D3F-41BF-82C8-0075D6BA25DD}" name="Column5" headerRowDxfId="528" dataDxfId="527" totalsRowDxfId="526"/>
    <tableColumn id="6" xr3:uid="{94B7D4BF-EFB3-4BBD-8951-4B34E8A522C9}" name="Column6" headerRowDxfId="525" dataDxfId="524" totalsRowDxfId="523"/>
    <tableColumn id="33" xr3:uid="{0CEE973D-09C5-4917-959E-6FA3CC471AF9}" name="Column32" headerRowDxfId="522" dataDxfId="521" totalsRowDxfId="520"/>
    <tableColumn id="32" xr3:uid="{04A0C413-8B43-49A5-AD73-344335C957CE}" name="Column31" headerRowDxfId="519" dataDxfId="518" totalsRowDxfId="517"/>
    <tableColumn id="7" xr3:uid="{E7C81675-0AFD-4BF3-8232-BCDC81EF7930}" name="Column7" totalsRowFunction="sum" headerRowDxfId="516" dataDxfId="515" totalsRowDxfId="514"/>
    <tableColumn id="8" xr3:uid="{01A1F948-329D-402E-AF65-F6B986AC1FE7}" name="Column8" totalsRowFunction="sum" headerRowDxfId="513" dataDxfId="512" totalsRowDxfId="511"/>
    <tableColumn id="9" xr3:uid="{7293BEB6-AB08-4F74-9A3C-909F4B9FB9E7}" name="Column9" totalsRowFunction="sum" headerRowDxfId="510" dataDxfId="509" totalsRowDxfId="508">
      <calculatedColumnFormula>Proj[[#This Row],[Column7]]-Proj[[#This Row],[Column8]]</calculatedColumnFormula>
    </tableColumn>
    <tableColumn id="14" xr3:uid="{57A5AB58-7AE7-4698-9888-66A3E6293B19}" name="Column14" totalsRowFunction="custom" headerRowDxfId="507" dataDxfId="506" totalsRowDxfId="505">
      <calculatedColumnFormula>IFERROR(Proj[[#This Row],[Column8]]/Proj[[#This Row],[Column7]],0)</calculatedColumnFormula>
      <totalsRowFormula>IFERROR(Proj[[#Totals],[Column8]]/Proj[[#Totals],[Column7]],0)</totalsRowFormula>
    </tableColumn>
    <tableColumn id="10" xr3:uid="{CC33D39C-4AD0-4882-9AB7-D8AC34AD18F0}" name="Column10" totalsRowFunction="sum" headerRowDxfId="504" dataDxfId="503" totalsRowDxfId="502"/>
    <tableColumn id="11" xr3:uid="{DAB434C8-380C-42C9-94F3-992F5FAFD953}" name="Column11" totalsRowFunction="sum" headerRowDxfId="501" dataDxfId="500" totalsRowDxfId="499"/>
    <tableColumn id="12" xr3:uid="{2347C032-9C6A-4FA8-9A6F-B93A4AC6F633}" name="Column12" totalsRowFunction="sum" headerRowDxfId="498" dataDxfId="497" totalsRowDxfId="496">
      <calculatedColumnFormula>Proj[[#This Row],[Column10]]-Proj[[#This Row],[Column11]]</calculatedColumnFormula>
    </tableColumn>
    <tableColumn id="13" xr3:uid="{EAC66EDF-2A7E-4192-A9B8-18EA9119AAEB}" name="Column13" totalsRowFunction="custom" headerRowDxfId="495" dataDxfId="494" totalsRowDxfId="493">
      <calculatedColumnFormula>IFERROR(N9/M9,0)</calculatedColumnFormula>
      <totalsRowFormula>IFERROR(Proj[[#Totals],[Column11]]/Proj[[#Totals],[Column10]],0)</totalsRowFormula>
    </tableColumn>
    <tableColumn id="35" xr3:uid="{B3F38983-04C5-4070-B3FA-B6FB0DB5A441}" name="Column34" totalsRowFunction="custom" headerRowDxfId="492" dataDxfId="491" totalsRowDxfId="490">
      <totalsRowFormula>IFERROR(Proj[[#Totals],[Column10]]/Proj[[#Totals],[Column7]],0)</totalsRowFormula>
    </tableColumn>
    <tableColumn id="23" xr3:uid="{41654260-76CE-4FB3-999E-E8BAD3B5ADA2}" name="Column23" totalsRowFunction="sum" headerRowDxfId="489" dataDxfId="488" totalsRowDxfId="487"/>
    <tableColumn id="27" xr3:uid="{977F69A2-A1B3-4B3D-AF8D-193FAB84C47B}" name="Column27" totalsRowFunction="sum" headerRowDxfId="486" dataDxfId="485" totalsRowDxfId="484"/>
    <tableColumn id="31" xr3:uid="{C6221256-35AF-44F8-BB63-0867C52DB1E2}" name="Column28" totalsRowFunction="sum" headerRowDxfId="483" dataDxfId="482" totalsRowDxfId="481">
      <calculatedColumnFormula>Proj[[#This Row],[Column23]]-Proj[[#This Row],[Column27]]</calculatedColumnFormula>
    </tableColumn>
    <tableColumn id="34" xr3:uid="{A5CC8CA2-AE82-4FA5-B345-6CDE43BA43AF}" name="Column33" totalsRowFunction="custom" headerRowDxfId="480" dataDxfId="479" totalsRowDxfId="478">
      <calculatedColumnFormula>IFERROR(Proj[[#This Row],[Column27]]/Proj[[#This Row],[Column23]],0)</calculatedColumnFormula>
      <totalsRowFormula>IFERROR(Proj[[#Totals],[Column27]]/Proj[[#Totals],[Column23]],0)</totalsRowFormula>
    </tableColumn>
    <tableColumn id="15" xr3:uid="{0BA98839-4979-4FBA-8FE1-37D06BFD19CC}" name="Column15" totalsRowFunction="sum" headerRowDxfId="477" dataDxfId="476" totalsRowDxfId="475"/>
    <tableColumn id="16" xr3:uid="{6A35F394-61EE-4196-AB94-351B2959F691}" name="Column16" totalsRowFunction="sum" headerRowDxfId="474" dataDxfId="473" totalsRowDxfId="472"/>
    <tableColumn id="17" xr3:uid="{65A78691-7DF7-488A-B593-69776EBCCD4F}" name="Column17" totalsRowFunction="sum" headerRowDxfId="471" dataDxfId="470" totalsRowDxfId="469">
      <calculatedColumnFormula>Proj[[#This Row],[Column15]]-Proj[[#This Row],[Column16]]</calculatedColumnFormula>
    </tableColumn>
    <tableColumn id="18" xr3:uid="{6730DF3A-3F2A-4A56-B22B-3EDA43EABA97}" name="Column18" totalsRowFunction="custom" headerRowDxfId="468" dataDxfId="467" totalsRowDxfId="466">
      <calculatedColumnFormula>IFERROR(W9/V9,0)</calculatedColumnFormula>
      <totalsRowFormula>IFERROR(Proj[[#Totals],[Column16]]/Proj[[#Totals],[Column15]],0)</totalsRowFormula>
    </tableColumn>
    <tableColumn id="19" xr3:uid="{BFF4C1DF-4B71-4B26-8ABC-05C781D79DEE}" name="Column19" totalsRowFunction="sum" headerRowDxfId="465" dataDxfId="464" totalsRowDxfId="463"/>
    <tableColumn id="20" xr3:uid="{162F2CB6-8C96-46D4-BAA7-028E4EA16BAA}" name="Column20" totalsRowFunction="sum" headerRowDxfId="462" dataDxfId="461" totalsRowDxfId="460"/>
    <tableColumn id="21" xr3:uid="{230D5A37-46FD-40F2-B5E8-CB1B03E29912}" name="Column21" totalsRowFunction="sum" headerRowDxfId="459" dataDxfId="458" totalsRowDxfId="457">
      <calculatedColumnFormula>Proj[[#This Row],[Column19]]-Proj[[#This Row],[Column20]]</calculatedColumnFormula>
    </tableColumn>
    <tableColumn id="22" xr3:uid="{BD0AA908-0EA6-4EB4-9B6A-30966FB0E52A}" name="Column22" totalsRowFunction="custom" headerRowDxfId="456" dataDxfId="455" totalsRowDxfId="454">
      <calculatedColumnFormula>IFERROR(AA9/Z9,0)</calculatedColumnFormula>
      <totalsRowFormula>IFERROR(Proj[[#Totals],[Column20]]/Proj[[#Totals],[Column19]],0)</totalsRowFormula>
    </tableColumn>
    <tableColumn id="24" xr3:uid="{D2C4F7AB-7CE0-40B0-B92E-1DF057EE64A8}" name="Column24" totalsRowFunction="sum" headerRowDxfId="453" dataDxfId="452" totalsRowDxfId="451"/>
    <tableColumn id="30" xr3:uid="{700739F5-8213-42A0-B686-835EC711C502}" name="Column30" totalsRowFunction="sum" headerRowDxfId="450" dataDxfId="449" totalsRowDxfId="448"/>
    <tableColumn id="29" xr3:uid="{46761C46-9FEB-49F8-A62B-C89D84903979}" name="Column29" totalsRowFunction="sum" headerRowDxfId="447" dataDxfId="446" totalsRowDxfId="445">
      <calculatedColumnFormula>Proj[[#This Row],[Column24]]-Proj[[#This Row],[Column30]]</calculatedColumnFormula>
    </tableColumn>
    <tableColumn id="25" xr3:uid="{954FFAFD-6883-4A35-87DE-7246D8F9731B}" name="Column25" totalsRowFunction="custom" headerRowDxfId="444" dataDxfId="443" totalsRowDxfId="442">
      <calculatedColumnFormula>IFERROR(Proj[[#This Row],[Column30]]/Proj[[#This Row],[Column24]],0)</calculatedColumnFormula>
      <totalsRowFormula>IFERROR(Proj[[#Totals],[Column30]]/Proj[[#Totals],[Column24]],0)</totalsRowFormula>
    </tableColumn>
    <tableColumn id="26" xr3:uid="{ACCCF552-374C-455D-A676-3CCA6943E45D}" name="Column26" totalsRowFunction="custom" headerRowDxfId="441" dataDxfId="440" totalsRowDxfId="439">
      <calculatedColumnFormula>IFERROR(Proj[[#This Row],[Column24]]/Proj[[#This Row],[Column19]],0)</calculatedColumnFormula>
      <totalsRowFormula>IFERROR(Proj[[#Totals],[Column24]]/Proj[[#Totals],[Column19]],0)</totalsRowFormula>
    </tableColumn>
    <tableColumn id="28" xr3:uid="{55F244FA-BFDF-4242-954C-698F90CCCFAD}" name="Column232" headerRowDxfId="438" dataDxfId="437" totalsRowDxfId="436"/>
  </tableColumns>
  <tableStyleInfo name="TableStyleMedium2" showFirstColumn="0" showLastColumn="0" showRowStripes="0"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82323B6-716C-42E0-8A75-8AF63C1159D1}" name="Surv" displayName="Surv" ref="A9:AI13" headerRowCount="0" totalsRowCount="1" headerRowDxfId="435" dataDxfId="434" totalsRowDxfId="432" tableBorderDxfId="433">
  <tableColumns count="35">
    <tableColumn id="1" xr3:uid="{EC1838E0-B1CD-452A-BB8F-303727B33E20}" name="Column1" headerRowDxfId="431" dataDxfId="430" totalsRowDxfId="429"/>
    <tableColumn id="2" xr3:uid="{33561554-813B-411C-B4F3-5180C147F34E}" name="Column2" headerRowDxfId="428" dataDxfId="427" totalsRowDxfId="426"/>
    <tableColumn id="3" xr3:uid="{9B56B7C7-AFF4-4AD4-9EB4-0105329DEB37}" name="Column3" headerRowDxfId="425" dataDxfId="424" totalsRowDxfId="423"/>
    <tableColumn id="4" xr3:uid="{F5547095-9A23-469E-803E-0453E7DE1EF8}" name="Column4" totalsRowLabel="SubTotal" headerRowDxfId="422" dataDxfId="421" totalsRowDxfId="420"/>
    <tableColumn id="5" xr3:uid="{0B6DB32D-9210-4241-9C53-88B551B5E3C6}" name="Column5" headerRowDxfId="419" dataDxfId="418" totalsRowDxfId="417"/>
    <tableColumn id="6" xr3:uid="{7947B73C-2E29-4110-BB3A-276D4CBEAD4C}" name="Column6" headerRowDxfId="416" dataDxfId="415" totalsRowDxfId="414"/>
    <tableColumn id="33" xr3:uid="{5DCBDEE2-8597-4AAC-B223-2E1C3D33150F}" name="Column32" headerRowDxfId="413" dataDxfId="412" totalsRowDxfId="411"/>
    <tableColumn id="32" xr3:uid="{FD72BFBD-E0E3-4515-B81F-39F1FF96A47F}" name="Column31" headerRowDxfId="410" dataDxfId="409" totalsRowDxfId="408"/>
    <tableColumn id="7" xr3:uid="{09E7231F-B180-4D30-BE12-681E0F443595}" name="Column7" totalsRowFunction="sum" headerRowDxfId="407" dataDxfId="406" totalsRowDxfId="405"/>
    <tableColumn id="8" xr3:uid="{1B094740-7B74-4F0C-BB6E-69DD2A643409}" name="Column8" totalsRowFunction="sum" headerRowDxfId="404" dataDxfId="403" totalsRowDxfId="402"/>
    <tableColumn id="9" xr3:uid="{8443C5B1-3C62-450D-AC35-869C037E0306}" name="Column9" totalsRowFunction="sum" headerRowDxfId="401" dataDxfId="400" totalsRowDxfId="399">
      <calculatedColumnFormula>Surv[[#This Row],[Column7]]-Surv[[#This Row],[Column8]]</calculatedColumnFormula>
    </tableColumn>
    <tableColumn id="14" xr3:uid="{B4F34713-302A-4670-9A8D-1A11DBEECED5}" name="Column14" totalsRowFunction="custom" headerRowDxfId="398" dataDxfId="397" totalsRowDxfId="396">
      <calculatedColumnFormula>IFERROR(J9/I9,0)</calculatedColumnFormula>
      <totalsRowFormula>IFERROR(Surv[[#Totals],[Column8]]/Surv[[#Totals],[Column7]],0)</totalsRowFormula>
    </tableColumn>
    <tableColumn id="10" xr3:uid="{FCB1A285-BDE0-4806-AE04-B5C551B7CDF3}" name="Column10" totalsRowFunction="sum" headerRowDxfId="395" dataDxfId="394" totalsRowDxfId="393"/>
    <tableColumn id="11" xr3:uid="{2529B56F-C07C-4CB2-94A3-6F38A64CC542}" name="Column11" totalsRowFunction="sum" headerRowDxfId="392" dataDxfId="391" totalsRowDxfId="390"/>
    <tableColumn id="12" xr3:uid="{27B9958C-1F70-4751-932D-F80CDCA9FC5D}" name="Column12" totalsRowFunction="sum" headerRowDxfId="389" dataDxfId="388" totalsRowDxfId="387">
      <calculatedColumnFormula>Surv[[#This Row],[Column10]]-Surv[[#This Row],[Column11]]</calculatedColumnFormula>
    </tableColumn>
    <tableColumn id="13" xr3:uid="{1C9610F6-50F9-4A44-BEB0-1843B28690C2}" name="Column13" totalsRowFunction="custom" headerRowDxfId="386" dataDxfId="385" totalsRowDxfId="384">
      <calculatedColumnFormula>IFERROR(N9/M9,0)</calculatedColumnFormula>
      <totalsRowFormula>IFERROR(Surv[[#Totals],[Column11]]/Surv[[#Totals],[Column10]],0)</totalsRowFormula>
    </tableColumn>
    <tableColumn id="35" xr3:uid="{BD8C3E6E-B3B3-461F-8BAA-D9B63AA3986E}" name="Column34" totalsRowFunction="custom" headerRowDxfId="383" dataDxfId="382" totalsRowDxfId="381">
      <totalsRowFormula>IFERROR(Surv[[#Totals],[Column10]]/Surv[[#Totals],[Column7]],0)</totalsRowFormula>
    </tableColumn>
    <tableColumn id="23" xr3:uid="{52F430E9-F72B-474B-A940-8D1E0B70A70D}" name="Column23" totalsRowFunction="sum" headerRowDxfId="380" dataDxfId="379" totalsRowDxfId="378"/>
    <tableColumn id="27" xr3:uid="{31218F24-169A-493E-B3B6-21742FB37A5F}" name="Column27" totalsRowFunction="sum" headerRowDxfId="377" dataDxfId="376" totalsRowDxfId="375"/>
    <tableColumn id="31" xr3:uid="{35250CCB-0487-47DE-9145-2EA2D9EC8326}" name="Column28" totalsRowFunction="sum" headerRowDxfId="374" dataDxfId="373" totalsRowDxfId="372">
      <calculatedColumnFormula>Surv[[#This Row],[Column23]]-Surv[[#This Row],[Column27]]</calculatedColumnFormula>
    </tableColumn>
    <tableColumn id="34" xr3:uid="{C69EACE7-D43A-4FF3-B5C2-577C9D44EFF3}" name="Column33" totalsRowFunction="custom" headerRowDxfId="371" dataDxfId="370" totalsRowDxfId="369">
      <calculatedColumnFormula>IFERROR(Surv[[#This Row],[Column27]]/Surv[[#This Row],[Column23]],0)</calculatedColumnFormula>
      <totalsRowFormula>IFERROR(Surv[[#Totals],[Column27]]/Surv[[#Totals],[Column23]],0)</totalsRowFormula>
    </tableColumn>
    <tableColumn id="15" xr3:uid="{601CBD0A-9C88-4E2D-BC86-B7BECE6EADEB}" name="Column15" totalsRowFunction="sum" headerRowDxfId="368" dataDxfId="367" totalsRowDxfId="366"/>
    <tableColumn id="16" xr3:uid="{A792DF23-7E08-488B-AD23-75CA39719C31}" name="Column16" totalsRowFunction="sum" headerRowDxfId="365" dataDxfId="364" totalsRowDxfId="363"/>
    <tableColumn id="17" xr3:uid="{8639F605-2E00-42BD-AE6E-BA4EE6BD985D}" name="Column17" totalsRowFunction="sum" headerRowDxfId="362" dataDxfId="361" totalsRowDxfId="360">
      <calculatedColumnFormula>Surv[[#This Row],[Column15]]-Surv[[#This Row],[Column16]]</calculatedColumnFormula>
    </tableColumn>
    <tableColumn id="18" xr3:uid="{6007EB13-CC6B-4409-9A6F-4C93E01CA010}" name="Column18" totalsRowFunction="custom" headerRowDxfId="359" dataDxfId="358" totalsRowDxfId="357">
      <calculatedColumnFormula>IFERROR(W9/V9,0)</calculatedColumnFormula>
      <totalsRowFormula>IFERROR(Surv[[#Totals],[Column16]]/Surv[[#Totals],[Column15]],0)</totalsRowFormula>
    </tableColumn>
    <tableColumn id="19" xr3:uid="{78E6FC89-87FD-4437-A315-B324C35998B5}" name="Column19" totalsRowFunction="sum" headerRowDxfId="356" dataDxfId="355" totalsRowDxfId="354"/>
    <tableColumn id="20" xr3:uid="{87ED109E-AB3B-41C1-99ED-51E6262B85B6}" name="Column20" totalsRowFunction="sum" headerRowDxfId="353" dataDxfId="352" totalsRowDxfId="351"/>
    <tableColumn id="21" xr3:uid="{B150EA26-BFDF-480B-82E3-86B81AEE447C}" name="Column21" totalsRowFunction="sum" headerRowDxfId="350" dataDxfId="349" totalsRowDxfId="348">
      <calculatedColumnFormula>Surv[[#This Row],[Column19]]-Surv[[#This Row],[Column20]]</calculatedColumnFormula>
    </tableColumn>
    <tableColumn id="22" xr3:uid="{49B61B40-DB7B-4B2E-84F7-E414CB43AC2D}" name="Column22" totalsRowFunction="custom" headerRowDxfId="347" dataDxfId="346" totalsRowDxfId="345">
      <calculatedColumnFormula>IFERROR(AA9/Z9,0)</calculatedColumnFormula>
      <totalsRowFormula>IFERROR(Surv[[#Totals],[Column20]]/Surv[[#Totals],[Column19]],0)</totalsRowFormula>
    </tableColumn>
    <tableColumn id="24" xr3:uid="{0FE4E8B3-C5EA-4DFA-B35A-5AE67EF10B20}" name="Column24" totalsRowFunction="sum" headerRowDxfId="344" dataDxfId="343" totalsRowDxfId="342"/>
    <tableColumn id="30" xr3:uid="{F080B1E5-AF3C-4AD9-BD9E-1F5F1483BA90}" name="Column30" totalsRowFunction="sum" headerRowDxfId="341" dataDxfId="340" totalsRowDxfId="339"/>
    <tableColumn id="29" xr3:uid="{B84250AD-CDB0-4205-8014-017C063B78B0}" name="Column29" totalsRowFunction="sum" headerRowDxfId="338" dataDxfId="337" totalsRowDxfId="336">
      <calculatedColumnFormula>Surv[[#This Row],[Column24]]-Surv[[#This Row],[Column30]]</calculatedColumnFormula>
    </tableColumn>
    <tableColumn id="25" xr3:uid="{D167DD48-6132-4AC4-88BB-D1B247230C9A}" name="Column25" totalsRowFunction="custom" headerRowDxfId="335" dataDxfId="334" totalsRowDxfId="333">
      <calculatedColumnFormula>IFERROR(Surv[[#This Row],[Column30]]/Surv[[#This Row],[Column24]],0)</calculatedColumnFormula>
      <totalsRowFormula>IFERROR(Surv[[#Totals],[Column30]]/Surv[[#Totals],[Column24]],0)</totalsRowFormula>
    </tableColumn>
    <tableColumn id="26" xr3:uid="{62D36757-0836-449B-BB7C-967A76585080}" name="Column26" totalsRowFunction="custom" headerRowDxfId="332" dataDxfId="331" totalsRowDxfId="330">
      <calculatedColumnFormula>IFERROR(Surv[[#This Row],[Column24]]/Surv[[#This Row],[Column19]],0)</calculatedColumnFormula>
      <totalsRowFormula>IFERROR(Surv[[#Totals],[Column24]]/Surv[[#Totals],[Column19]],0)</totalsRowFormula>
    </tableColumn>
    <tableColumn id="28" xr3:uid="{169130C4-9186-4666-B8F2-E7E053B00FEB}" name="Column232" headerRowDxfId="329" dataDxfId="328" totalsRowDxfId="327"/>
  </tableColumns>
  <tableStyleInfo name="TableStyleMedium2" showFirstColumn="0" showLastColumn="0" showRowStripes="0"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2B04ED72-CAD2-415B-BA2F-E1B25B68DB7A}" name="Mod" displayName="Mod" ref="A9:AI13" headerRowCount="0" totalsRowCount="1" headerRowDxfId="326" dataDxfId="325" totalsRowDxfId="323" tableBorderDxfId="324">
  <tableColumns count="35">
    <tableColumn id="1" xr3:uid="{2B5B6A8B-1721-4FAA-B912-8A97861105EC}" name="Column1" headerRowDxfId="322" dataDxfId="321" totalsRowDxfId="320"/>
    <tableColumn id="2" xr3:uid="{C2D742C8-971A-44ED-BFE5-F2DBA21532B9}" name="Column2" headerRowDxfId="319" dataDxfId="318" totalsRowDxfId="317"/>
    <tableColumn id="3" xr3:uid="{D6BB1750-F2D8-4719-B004-621C6D58FD02}" name="Column3" headerRowDxfId="316" dataDxfId="315" totalsRowDxfId="314"/>
    <tableColumn id="4" xr3:uid="{2FE32CE0-3C0F-4B68-8D5F-010E150394C5}" name="Column4" totalsRowLabel="SubTotal" headerRowDxfId="313" dataDxfId="312" totalsRowDxfId="311"/>
    <tableColumn id="5" xr3:uid="{4C0BE7D0-C87C-43BF-A766-EDAA312836CF}" name="Column5" headerRowDxfId="310" dataDxfId="309" totalsRowDxfId="308"/>
    <tableColumn id="6" xr3:uid="{CFA1C0A3-7A77-4FCF-BA9F-30698BC04670}" name="Column6" headerRowDxfId="307" dataDxfId="306" totalsRowDxfId="305"/>
    <tableColumn id="33" xr3:uid="{462DA4FE-8C3B-4237-9260-6A173B88F456}" name="Column32" headerRowDxfId="304" dataDxfId="303" totalsRowDxfId="302"/>
    <tableColumn id="32" xr3:uid="{E45EC2D1-F5C8-4BEE-B431-A2F54E98C700}" name="Column31" headerRowDxfId="301" dataDxfId="300" totalsRowDxfId="299"/>
    <tableColumn id="7" xr3:uid="{8EB4193A-CB66-4AA0-B217-967CDEB1EE7F}" name="Column7" totalsRowFunction="sum" headerRowDxfId="298" dataDxfId="297" totalsRowDxfId="296"/>
    <tableColumn id="8" xr3:uid="{7DCA2FEC-AE9A-4FA1-B053-AC54EF9E777A}" name="Column8" totalsRowFunction="sum" headerRowDxfId="295" dataDxfId="294" totalsRowDxfId="293"/>
    <tableColumn id="9" xr3:uid="{9AD9280E-3C0B-4F71-B11E-8925922BBC0D}" name="Column9" totalsRowFunction="sum" headerRowDxfId="292" dataDxfId="291" totalsRowDxfId="290">
      <calculatedColumnFormula>Mod[[#This Row],[Column7]]-Mod[[#This Row],[Column8]]</calculatedColumnFormula>
    </tableColumn>
    <tableColumn id="14" xr3:uid="{7A6BE54E-0A56-4697-B364-86212DA08801}" name="Column14" totalsRowFunction="custom" headerRowDxfId="289" dataDxfId="288" totalsRowDxfId="287">
      <calculatedColumnFormula>IFERROR(Mod[[#This Row],[Column8]]/Mod[[#This Row],[Column7]],0)</calculatedColumnFormula>
      <totalsRowFormula>IFERROR(Mod[[#Totals],[Column8]]/Mod[[#Totals],[Column7]],0)</totalsRowFormula>
    </tableColumn>
    <tableColumn id="10" xr3:uid="{628D01F5-86E2-4C06-8EA3-340ED48EE949}" name="Column10" totalsRowFunction="sum" headerRowDxfId="286" dataDxfId="285" totalsRowDxfId="284"/>
    <tableColumn id="11" xr3:uid="{0E71FF9E-A2B1-4E63-A898-C7BFD8EB3BEF}" name="Column11" totalsRowFunction="sum" headerRowDxfId="283" dataDxfId="282" totalsRowDxfId="281"/>
    <tableColumn id="12" xr3:uid="{FB5DB813-DFE8-4D1D-B914-B6FEB11455C3}" name="Column12" totalsRowFunction="sum" headerRowDxfId="280" dataDxfId="279" totalsRowDxfId="278">
      <calculatedColumnFormula>Mod[[#This Row],[Column10]]-Mod[[#This Row],[Column11]]</calculatedColumnFormula>
    </tableColumn>
    <tableColumn id="13" xr3:uid="{DD931A7A-B789-41A3-8DBE-9907E2830520}" name="Column13" totalsRowFunction="custom" headerRowDxfId="277" dataDxfId="276" totalsRowDxfId="275">
      <calculatedColumnFormula>IFERROR(N9/M9,0)</calculatedColumnFormula>
      <totalsRowFormula>IFERROR(Mod[[#Totals],[Column11]]/Mod[[#Totals],[Column10]],0)</totalsRowFormula>
    </tableColumn>
    <tableColumn id="35" xr3:uid="{75C395DC-6BD2-4F57-8D54-0E8B43382650}" name="Column34" totalsRowFunction="custom" headerRowDxfId="274" dataDxfId="273" totalsRowDxfId="272">
      <totalsRowFormula>IFERROR(Mod[[#Totals],[Column10]]/Mod[[#Totals],[Column7]],0)</totalsRowFormula>
    </tableColumn>
    <tableColumn id="23" xr3:uid="{CFC69297-3847-4D29-B84E-B92A66184C3C}" name="Column23" totalsRowFunction="sum" headerRowDxfId="271" dataDxfId="270" totalsRowDxfId="269"/>
    <tableColumn id="27" xr3:uid="{EEC6C566-8AFC-4940-B13E-65E8E9BF6011}" name="Column27" totalsRowFunction="sum" headerRowDxfId="268" dataDxfId="267" totalsRowDxfId="266"/>
    <tableColumn id="31" xr3:uid="{7A7718A4-2C08-4B28-9C78-00CBBFA6C741}" name="Column28" totalsRowFunction="sum" headerRowDxfId="265" dataDxfId="264" totalsRowDxfId="263">
      <calculatedColumnFormula>Mod[[#This Row],[Column23]]-Mod[[#This Row],[Column27]]</calculatedColumnFormula>
    </tableColumn>
    <tableColumn id="34" xr3:uid="{25A9FC7B-A704-48ED-A724-EB46118E54E6}" name="Column33" totalsRowFunction="custom" headerRowDxfId="262" dataDxfId="261" totalsRowDxfId="260">
      <calculatedColumnFormula>IFERROR(S9/R9,0)</calculatedColumnFormula>
      <totalsRowFormula>IFERROR(Mod[[#Totals],[Column27]]/Mod[[#Totals],[Column23]],0)</totalsRowFormula>
    </tableColumn>
    <tableColumn id="15" xr3:uid="{73145028-A432-42C5-8107-A85753CA007C}" name="Column15" totalsRowFunction="sum" headerRowDxfId="259" dataDxfId="258" totalsRowDxfId="257"/>
    <tableColumn id="16" xr3:uid="{5680C202-A81D-4F22-BC85-DA09977508D5}" name="Column16" totalsRowFunction="sum" headerRowDxfId="256" dataDxfId="255" totalsRowDxfId="254"/>
    <tableColumn id="17" xr3:uid="{D87FFD98-049E-48FA-8461-438B891D0C1A}" name="Column17" totalsRowFunction="sum" headerRowDxfId="253" dataDxfId="252" totalsRowDxfId="251">
      <calculatedColumnFormula>Mod[[#This Row],[Column15]]-Mod[[#This Row],[Column16]]</calculatedColumnFormula>
    </tableColumn>
    <tableColumn id="18" xr3:uid="{66500A6E-BF48-4CE7-9B1B-F1C6C89F66C2}" name="Column18" totalsRowFunction="custom" headerRowDxfId="250" dataDxfId="249" totalsRowDxfId="248">
      <calculatedColumnFormula>IFERROR(W9/V9,0)</calculatedColumnFormula>
      <totalsRowFormula>IFERROR(Mod[[#Totals],[Column16]]/Mod[[#Totals],[Column15]],0)</totalsRowFormula>
    </tableColumn>
    <tableColumn id="19" xr3:uid="{1E9AF4A4-DDA8-4679-8DB5-87D96D2C1A97}" name="Column19" totalsRowFunction="sum" headerRowDxfId="247" dataDxfId="246" totalsRowDxfId="245"/>
    <tableColumn id="20" xr3:uid="{41119F60-4739-4B00-9990-B9AB2B3615D5}" name="Column20" totalsRowFunction="sum" headerRowDxfId="244" dataDxfId="243" totalsRowDxfId="242"/>
    <tableColumn id="21" xr3:uid="{3BCB48E2-B715-40FA-A4AF-557BA219B40E}" name="Column21" totalsRowFunction="sum" headerRowDxfId="241" dataDxfId="240" totalsRowDxfId="239">
      <calculatedColumnFormula>Mod[[#This Row],[Column19]]-Mod[[#This Row],[Column20]]</calculatedColumnFormula>
    </tableColumn>
    <tableColumn id="22" xr3:uid="{28C2A84B-42DC-4FF5-B39E-571CFB53511A}" name="Column22" totalsRowFunction="custom" headerRowDxfId="238" dataDxfId="237" totalsRowDxfId="236">
      <calculatedColumnFormula>IFERROR(AA9/Z9,0)</calculatedColumnFormula>
      <totalsRowFormula>IFERROR(Mod[[#Totals],[Column20]]/Mod[[#Totals],[Column19]],0)</totalsRowFormula>
    </tableColumn>
    <tableColumn id="24" xr3:uid="{3CB0FDC9-60D0-41E7-A7A0-9401CDBD34C1}" name="Column24" totalsRowFunction="sum" headerRowDxfId="235" dataDxfId="234" totalsRowDxfId="233"/>
    <tableColumn id="30" xr3:uid="{47EC5BBF-E718-4E26-A5B6-D70D0812F87A}" name="Column30" totalsRowFunction="sum" headerRowDxfId="232" dataDxfId="231" totalsRowDxfId="230"/>
    <tableColumn id="29" xr3:uid="{65DF1879-3DAD-44AC-94D5-E353A29FD55D}" name="Column29" totalsRowFunction="sum" headerRowDxfId="229" dataDxfId="228" totalsRowDxfId="227">
      <calculatedColumnFormula>Mod[[#This Row],[Column24]]-Mod[[#This Row],[Column30]]</calculatedColumnFormula>
    </tableColumn>
    <tableColumn id="25" xr3:uid="{168F7231-FD4B-46F3-9377-1CD715A58D0E}" name="Column25" totalsRowFunction="custom" headerRowDxfId="226" dataDxfId="225" totalsRowDxfId="224">
      <calculatedColumnFormula>IFERROR(Mod[[#This Row],[Column30]]/Mod[[#This Row],[Column24]],0)</calculatedColumnFormula>
      <totalsRowFormula>IFERROR(Mod[[#Totals],[Column30]]/Mod[[#Totals],[Column24]],0)</totalsRowFormula>
    </tableColumn>
    <tableColumn id="26" xr3:uid="{1F2DF2FA-B82E-4A6F-9F92-9C488BB452D3}" name="Column26" totalsRowFunction="custom" headerRowDxfId="223" dataDxfId="222" totalsRowDxfId="221">
      <calculatedColumnFormula>IFERROR(Mod[[#This Row],[Column24]]/Mod[[#This Row],[Column19]],0)</calculatedColumnFormula>
      <totalsRowFormula>IFERROR(Mod[[#Totals],[Column24]]/Mod[[#Totals],[Column19]],0)</totalsRowFormula>
    </tableColumn>
    <tableColumn id="28" xr3:uid="{EA79AB2C-2BAB-4D7C-A691-479B28D28C5C}" name="Column232" headerRowDxfId="220" dataDxfId="219" totalsRowDxfId="218"/>
  </tableColumns>
  <tableStyleInfo name="TableStyleMedium2" showFirstColumn="0" showLastColumn="0" showRowStripes="0"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B5ECCF2B-7E6C-439B-9BCE-7505C52DDE63}" name="Ship" displayName="Ship" ref="A9:AI13" headerRowCount="0" totalsRowCount="1" headerRowDxfId="217" dataDxfId="216" totalsRowDxfId="214" tableBorderDxfId="215">
  <tableColumns count="35">
    <tableColumn id="1" xr3:uid="{B3372A6E-941B-415C-BCFB-17BC67EB0802}" name="Column1" headerRowDxfId="213" dataDxfId="212" totalsRowDxfId="211"/>
    <tableColumn id="2" xr3:uid="{384E475D-48C1-46FE-A832-05F8DACB1CD9}" name="Column2" headerRowDxfId="210" dataDxfId="209" totalsRowDxfId="208"/>
    <tableColumn id="3" xr3:uid="{340AD3CD-54C9-4446-A467-73DE896548F3}" name="Column3" headerRowDxfId="207" dataDxfId="206" totalsRowDxfId="205"/>
    <tableColumn id="4" xr3:uid="{99026B4F-417F-46EA-B581-53AFFACA54B2}" name="Column4" totalsRowLabel="SubTotal" headerRowDxfId="204" dataDxfId="203" totalsRowDxfId="202"/>
    <tableColumn id="5" xr3:uid="{3AF0DBEC-FA91-47AE-94B9-86599E54F541}" name="Column5" headerRowDxfId="201" dataDxfId="200" totalsRowDxfId="199"/>
    <tableColumn id="6" xr3:uid="{3DB8CBA9-02EF-4F71-8F30-D1B8CF278E09}" name="Column6" headerRowDxfId="198" dataDxfId="197" totalsRowDxfId="196"/>
    <tableColumn id="33" xr3:uid="{ABCC223A-476E-461E-9170-F844AED502FD}" name="Column32" headerRowDxfId="195" dataDxfId="194" totalsRowDxfId="193"/>
    <tableColumn id="32" xr3:uid="{FCC20D43-1436-4A9E-B417-DEC8F7FEF838}" name="Column31" headerRowDxfId="192" dataDxfId="191" totalsRowDxfId="190"/>
    <tableColumn id="7" xr3:uid="{A3973A92-D333-43B1-B9F3-E2A55E1479EB}" name="Column7" totalsRowFunction="sum" headerRowDxfId="189" dataDxfId="188" totalsRowDxfId="187"/>
    <tableColumn id="8" xr3:uid="{C8319605-7B55-44E5-9709-9A36AC3921E4}" name="Column8" totalsRowFunction="sum" headerRowDxfId="186" dataDxfId="185" totalsRowDxfId="184"/>
    <tableColumn id="9" xr3:uid="{99E15D56-053E-4FB1-A2FA-0289291122B1}" name="Column9" totalsRowFunction="sum" headerRowDxfId="183" dataDxfId="182" totalsRowDxfId="181">
      <calculatedColumnFormula>Ship[[#This Row],[Column7]]-Ship[[#This Row],[Column8]]</calculatedColumnFormula>
    </tableColumn>
    <tableColumn id="14" xr3:uid="{DFD70EDE-D32E-4980-AE45-C9F02B6111A7}" name="Column14" totalsRowFunction="custom" headerRowDxfId="180" dataDxfId="179" totalsRowDxfId="178">
      <calculatedColumnFormula>IFERROR(Ship[[#This Row],[Column8]]/Ship[[#This Row],[Column7]],0)</calculatedColumnFormula>
      <totalsRowFormula>IFERROR(Ship[[#Totals],[Column8]]/Ship[[#Totals],[Column7]],0)</totalsRowFormula>
    </tableColumn>
    <tableColumn id="10" xr3:uid="{2BBF345D-AF4C-4A0B-A81E-EC7F26643775}" name="Column10" totalsRowFunction="sum" headerRowDxfId="177" dataDxfId="176" totalsRowDxfId="175"/>
    <tableColumn id="11" xr3:uid="{9A625C92-9679-45FC-A69A-497F803BD79D}" name="Column11" totalsRowFunction="sum" headerRowDxfId="174" dataDxfId="173" totalsRowDxfId="172"/>
    <tableColumn id="12" xr3:uid="{160A81FD-4825-4CF2-8588-35321FE4B28E}" name="Column12" totalsRowFunction="sum" headerRowDxfId="171" dataDxfId="170" totalsRowDxfId="169">
      <calculatedColumnFormula>Ship[[#This Row],[Column10]]-Ship[[#This Row],[Column11]]</calculatedColumnFormula>
    </tableColumn>
    <tableColumn id="13" xr3:uid="{E38A3D7B-2626-4813-997F-1898229B1BAA}" name="Column13" totalsRowFunction="custom" headerRowDxfId="168" dataDxfId="167" totalsRowDxfId="166">
      <calculatedColumnFormula>IFERROR(N11/M11,0)</calculatedColumnFormula>
      <totalsRowFormula>IFERROR(Ship[[#Totals],[Column11]]/Ship[[#Totals],[Column10]],0)</totalsRowFormula>
    </tableColumn>
    <tableColumn id="35" xr3:uid="{FA272EC7-507A-44F6-ADE8-F8242FAED25C}" name="Column34" totalsRowFunction="custom" headerRowDxfId="165" dataDxfId="164" totalsRowDxfId="163">
      <totalsRowFormula>IFERROR(Ship[[#Totals],[Column10]]/Ship[[#Totals],[Column7]],0)</totalsRowFormula>
    </tableColumn>
    <tableColumn id="23" xr3:uid="{D6B710EF-26DC-4C63-84AB-835C94A49550}" name="Column23" totalsRowFunction="sum" headerRowDxfId="162" dataDxfId="161" totalsRowDxfId="160"/>
    <tableColumn id="27" xr3:uid="{C667937B-9601-4FBA-8A46-4526384FDDAA}" name="Column27" totalsRowFunction="sum" headerRowDxfId="159" dataDxfId="158" totalsRowDxfId="157"/>
    <tableColumn id="31" xr3:uid="{824A11D8-DF5D-45F2-AB03-C2C96DB5B00A}" name="Column28" totalsRowFunction="sum" headerRowDxfId="156" dataDxfId="155" totalsRowDxfId="154">
      <calculatedColumnFormula>Ship[[#This Row],[Column23]]-Ship[[#This Row],[Column27]]</calculatedColumnFormula>
    </tableColumn>
    <tableColumn id="34" xr3:uid="{A722CB3F-8E6C-4663-8084-7D78E12A7597}" name="Column33" totalsRowFunction="custom" headerRowDxfId="153" dataDxfId="152" totalsRowDxfId="151">
      <calculatedColumnFormula>IFERROR(Ship[[#This Row],[Column27]]/Ship[[#This Row],[Column23]],0)</calculatedColumnFormula>
      <totalsRowFormula>IFERROR(Ship[[#Totals],[Column27]]/Ship[[#Totals],[Column23]],0)</totalsRowFormula>
    </tableColumn>
    <tableColumn id="15" xr3:uid="{D14E575C-9A86-4427-9FF3-64F1FEAF518C}" name="Column15" totalsRowFunction="sum" headerRowDxfId="150" dataDxfId="149" totalsRowDxfId="148"/>
    <tableColumn id="16" xr3:uid="{1F3F14DC-1D61-45DD-AA1E-A78857B43041}" name="Column16" totalsRowFunction="sum" headerRowDxfId="147" dataDxfId="146" totalsRowDxfId="145"/>
    <tableColumn id="17" xr3:uid="{D5AE1FFD-8A6F-4EBC-8436-713CC8C79BAE}" name="Column17" totalsRowFunction="sum" headerRowDxfId="144" dataDxfId="143" totalsRowDxfId="142">
      <calculatedColumnFormula>Ship[[#This Row],[Column15]]-Ship[[#This Row],[Column16]]</calculatedColumnFormula>
    </tableColumn>
    <tableColumn id="18" xr3:uid="{9F8B918C-C036-4989-AEC0-37DDB45A33ED}" name="Column18" totalsRowLabel="1%" headerRowDxfId="141" dataDxfId="140" totalsRowDxfId="139">
      <calculatedColumnFormula>IFERROR(W9/V9,0)</calculatedColumnFormula>
    </tableColumn>
    <tableColumn id="19" xr3:uid="{9CBF22F5-4600-4685-831B-97D0E21101EC}" name="Column19" totalsRowFunction="sum" headerRowDxfId="138" dataDxfId="137" totalsRowDxfId="136"/>
    <tableColumn id="20" xr3:uid="{16CFE500-2840-458E-9DFB-3E5DFA325820}" name="Column20" totalsRowFunction="sum" headerRowDxfId="135" dataDxfId="134" totalsRowDxfId="133"/>
    <tableColumn id="21" xr3:uid="{4ACC1B67-0455-45DE-A796-D1E3317E1990}" name="Column21" totalsRowFunction="sum" headerRowDxfId="132" dataDxfId="131" totalsRowDxfId="130">
      <calculatedColumnFormula>Ship[[#This Row],[Column19]]-Ship[[#This Row],[Column20]]</calculatedColumnFormula>
    </tableColumn>
    <tableColumn id="22" xr3:uid="{DB892B20-C395-4437-8B86-717801CB3502}" name="Column22" totalsRowFunction="custom" headerRowDxfId="129" dataDxfId="128" totalsRowDxfId="127">
      <calculatedColumnFormula>IFERROR(AA9/Z9,0)</calculatedColumnFormula>
      <totalsRowFormula>IFERROR(Ship[[#Totals],[Column20]]/Ship[[#Totals],[Column19]],0)</totalsRowFormula>
    </tableColumn>
    <tableColumn id="24" xr3:uid="{79E0B945-2E7D-4261-8AC9-ABF96FA12D45}" name="Column24" totalsRowFunction="sum" headerRowDxfId="126" dataDxfId="125" totalsRowDxfId="124"/>
    <tableColumn id="30" xr3:uid="{B0D5D081-592F-4389-99CB-8781636DF84F}" name="Column30" totalsRowFunction="sum" headerRowDxfId="123" dataDxfId="122" totalsRowDxfId="121"/>
    <tableColumn id="29" xr3:uid="{14DD58CE-B00B-4A85-82E1-1CE06A87838D}" name="Column29" totalsRowFunction="sum" headerRowDxfId="120" dataDxfId="119" totalsRowDxfId="118">
      <calculatedColumnFormula>Ship[[#This Row],[Column24]]-Ship[[#This Row],[Column30]]</calculatedColumnFormula>
    </tableColumn>
    <tableColumn id="25" xr3:uid="{135ABFA3-74DC-4DFA-B65E-431BCAB4CBDB}" name="Column25" totalsRowFunction="custom" headerRowDxfId="117" dataDxfId="116" totalsRowDxfId="115">
      <calculatedColumnFormula>IFERROR(Ship[[#This Row],[Column30]]/Ship[[#This Row],[Column24]],0)</calculatedColumnFormula>
      <totalsRowFormula>IFERROR(Ship[[#Totals],[Column30]]/Ship[[#Totals],[Column24]],0)</totalsRowFormula>
    </tableColumn>
    <tableColumn id="26" xr3:uid="{F53D3B17-DA6A-46E0-8C06-5BC45224A6F2}" name="Column26" totalsRowFunction="custom" headerRowDxfId="114" dataDxfId="113" totalsRowDxfId="112">
      <calculatedColumnFormula>IFERROR(Ship[[#This Row],[Column24]]/Ship[[#This Row],[Column19]],0)</calculatedColumnFormula>
      <totalsRowFormula>IFERROR(Ship[[#Totals],[Column24]]/Ship[[#Totals],[Column19]],0)</totalsRowFormula>
    </tableColumn>
    <tableColumn id="28" xr3:uid="{0BDD691C-7AED-4EDC-8993-071E54478419}" name="Column232" headerRowDxfId="111" dataDxfId="110" totalsRowDxfId="109"/>
  </tableColumns>
  <tableStyleInfo name="TableStyleMedium2" showFirstColumn="0" showLastColumn="0" showRowStripes="0"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90050486-CB0C-49EB-AC34-B236A1DAAA8E}" name="Others" displayName="Others" ref="A9:AI13" headerRowCount="0" totalsRowCount="1" headerRowDxfId="108" dataDxfId="107" totalsRowDxfId="105" tableBorderDxfId="106">
  <tableColumns count="35">
    <tableColumn id="1" xr3:uid="{970890E2-E251-4719-8FAA-661A74C940BD}" name="Column1" headerRowDxfId="104" dataDxfId="103" totalsRowDxfId="102"/>
    <tableColumn id="2" xr3:uid="{1BD3E2F6-8684-40C4-8662-F0E4A0D4CB6A}" name="Column2" headerRowDxfId="101" dataDxfId="100" totalsRowDxfId="99"/>
    <tableColumn id="3" xr3:uid="{37E75E93-07E1-4C3D-BA44-466F55D17FA7}" name="Column3" headerRowDxfId="98" dataDxfId="97" totalsRowDxfId="96"/>
    <tableColumn id="4" xr3:uid="{05A56E9E-9186-4F14-8A26-F81DE35BCD4A}" name="Column4" totalsRowLabel="SubTotal" headerRowDxfId="95" dataDxfId="94" totalsRowDxfId="93"/>
    <tableColumn id="5" xr3:uid="{19546E31-4F82-48D7-8D54-7814C056FEC4}" name="Column5" headerRowDxfId="92" dataDxfId="91" totalsRowDxfId="90"/>
    <tableColumn id="6" xr3:uid="{D497376C-5E3F-4D92-BD9F-878888323714}" name="Column6" headerRowDxfId="89" dataDxfId="88" totalsRowDxfId="87"/>
    <tableColumn id="33" xr3:uid="{297D120D-9822-4E4F-B944-D8AB4A305628}" name="Column32" headerRowDxfId="86" dataDxfId="85" totalsRowDxfId="84"/>
    <tableColumn id="32" xr3:uid="{B60BA986-EADE-48B0-AF53-EA326E08677F}" name="Column31" headerRowDxfId="83" dataDxfId="82" totalsRowDxfId="81"/>
    <tableColumn id="7" xr3:uid="{59A982DC-0828-4C09-B529-E418B4EBEA3F}" name="Column7" totalsRowFunction="sum" headerRowDxfId="80" dataDxfId="79" totalsRowDxfId="78"/>
    <tableColumn id="8" xr3:uid="{299DA67F-67D2-47F4-B082-0569583B40B4}" name="Column8" totalsRowFunction="sum" headerRowDxfId="77" dataDxfId="76" totalsRowDxfId="75"/>
    <tableColumn id="9" xr3:uid="{B4970BE1-5F05-4045-B8A2-C5A1CEF5D0D4}" name="Column9" totalsRowFunction="sum" headerRowDxfId="74" dataDxfId="73" totalsRowDxfId="72">
      <calculatedColumnFormula>Others[[#This Row],[Column7]]-Others[[#This Row],[Column8]]</calculatedColumnFormula>
    </tableColumn>
    <tableColumn id="14" xr3:uid="{A372D744-7EFD-46B3-893B-845CFB88925D}" name="Column14" totalsRowFunction="custom" headerRowDxfId="71" dataDxfId="70" totalsRowDxfId="69">
      <calculatedColumnFormula>IFERROR(Others[[#This Row],[Column8]]/Others[[#This Row],[Column7]],0)</calculatedColumnFormula>
      <totalsRowFormula>IFERROR(Others[[#Totals],[Column8]]/Others[[#Totals],[Column7]],0)</totalsRowFormula>
    </tableColumn>
    <tableColumn id="10" xr3:uid="{45142267-FE00-4CA2-B0B1-56B0A7FD75CA}" name="Column10" totalsRowFunction="sum" headerRowDxfId="68" dataDxfId="67" totalsRowDxfId="66"/>
    <tableColumn id="11" xr3:uid="{13F126FF-47E9-4A87-AD8A-B8096D5DF458}" name="Column11" totalsRowFunction="sum" headerRowDxfId="65" dataDxfId="64" totalsRowDxfId="63"/>
    <tableColumn id="12" xr3:uid="{FB64394B-94B0-4FDB-91A3-58E5EF118A4A}" name="Column12" totalsRowFunction="sum" headerRowDxfId="62" dataDxfId="61" totalsRowDxfId="60">
      <calculatedColumnFormula>Others[[#This Row],[Column10]]-Others[[#This Row],[Column11]]</calculatedColumnFormula>
    </tableColumn>
    <tableColumn id="13" xr3:uid="{667E44A9-52CB-4148-BACF-AB29C0238E29}" name="Column13" totalsRowFunction="custom" headerRowDxfId="59" dataDxfId="58" totalsRowDxfId="57">
      <calculatedColumnFormula>IFERROR(N9/M9,0)</calculatedColumnFormula>
      <totalsRowFormula>IFERROR(Others[[#Totals],[Column11]]/Others[[#Totals],[Column10]],0)</totalsRowFormula>
    </tableColumn>
    <tableColumn id="35" xr3:uid="{6BFB4F16-E7DF-4632-8B5E-329D4277C6F4}" name="Column34" totalsRowFunction="custom" headerRowDxfId="56" dataDxfId="55" totalsRowDxfId="54">
      <totalsRowFormula>IFERROR(Others[[#Totals],[Column10]]/Others[[#Totals],[Column7]],0)</totalsRowFormula>
    </tableColumn>
    <tableColumn id="23" xr3:uid="{11B07C3A-92DC-4881-81E0-CC685B8F71F3}" name="Column23" totalsRowFunction="sum" headerRowDxfId="53" dataDxfId="52" totalsRowDxfId="51"/>
    <tableColumn id="27" xr3:uid="{7BA059C2-122C-4C96-8A36-795C4FD99178}" name="Column27" totalsRowFunction="sum" headerRowDxfId="50" dataDxfId="49" totalsRowDxfId="48"/>
    <tableColumn id="31" xr3:uid="{0379480D-185A-471F-85B4-932C923F3CCF}" name="Column28" totalsRowFunction="sum" headerRowDxfId="47" dataDxfId="46" totalsRowDxfId="45">
      <calculatedColumnFormula>Others[[#This Row],[Column23]]-Others[[#This Row],[Column27]]</calculatedColumnFormula>
    </tableColumn>
    <tableColumn id="34" xr3:uid="{F73A8961-2AAA-4E9D-B6DA-D8F3EFE6A879}" name="Column33" totalsRowFunction="custom" headerRowDxfId="44" dataDxfId="43" totalsRowDxfId="42">
      <calculatedColumnFormula>IFERROR(Others[[#This Row],[Column27]]/Others[[#This Row],[Column23]],0)</calculatedColumnFormula>
      <totalsRowFormula>IFERROR(Others[[#Totals],[Column27]]/Others[[#Totals],[Column23]],0)</totalsRowFormula>
    </tableColumn>
    <tableColumn id="15" xr3:uid="{21428C22-D86C-4AEB-A1F6-C02175E60471}" name="Column15" totalsRowFunction="sum" headerRowDxfId="41" dataDxfId="40" totalsRowDxfId="39"/>
    <tableColumn id="16" xr3:uid="{AD4DAB3F-3A3E-4BC1-A1ED-FAFF1C00EE45}" name="Column16" totalsRowFunction="sum" headerRowDxfId="38" dataDxfId="37" totalsRowDxfId="36"/>
    <tableColumn id="17" xr3:uid="{C03D8011-E465-4576-8FA2-8463C6548CF6}" name="Column17" totalsRowFunction="sum" headerRowDxfId="35" dataDxfId="34" totalsRowDxfId="33">
      <calculatedColumnFormula>Others[[#This Row],[Column15]]-Others[[#This Row],[Column16]]</calculatedColumnFormula>
    </tableColumn>
    <tableColumn id="18" xr3:uid="{B27BE91A-2E15-455C-AF9E-E00D65050D54}" name="Column18" totalsRowFunction="custom" headerRowDxfId="32" dataDxfId="31" totalsRowDxfId="30">
      <calculatedColumnFormula>IFERROR(W9/V9,0)</calculatedColumnFormula>
      <totalsRowFormula>IFERROR(Others[[#Totals],[Column16]]/Others[[#Totals],[Column15]],0)</totalsRowFormula>
    </tableColumn>
    <tableColumn id="19" xr3:uid="{BAF42248-3BCC-473C-9093-816C4026F885}" name="Column19" totalsRowFunction="sum" headerRowDxfId="29" dataDxfId="28" totalsRowDxfId="27"/>
    <tableColumn id="20" xr3:uid="{D9FB0200-DB0B-4569-B460-33CD33AEE223}" name="Column20" totalsRowFunction="sum" headerRowDxfId="26" dataDxfId="25" totalsRowDxfId="24"/>
    <tableColumn id="21" xr3:uid="{76E80E51-C32E-4A3B-B0A9-777C7F90AC9B}" name="Column21" totalsRowFunction="sum" headerRowDxfId="23" dataDxfId="22" totalsRowDxfId="21">
      <calculatedColumnFormula>Others[[#This Row],[Column19]]-Others[[#This Row],[Column20]]</calculatedColumnFormula>
    </tableColumn>
    <tableColumn id="22" xr3:uid="{1750DF04-9209-4714-A951-6A15333F220F}" name="Column22" totalsRowFunction="custom" headerRowDxfId="20" dataDxfId="19" totalsRowDxfId="18">
      <calculatedColumnFormula>IFERROR(AA9/Z9,0)</calculatedColumnFormula>
      <totalsRowFormula>IFERROR(Others[[#Totals],[Column20]]/Others[[#Totals],[Column19]],0)</totalsRowFormula>
    </tableColumn>
    <tableColumn id="24" xr3:uid="{3CE21BDC-972D-43EA-9BAA-A7316716CE09}" name="Column24" totalsRowFunction="sum" headerRowDxfId="17" dataDxfId="16" totalsRowDxfId="15"/>
    <tableColumn id="30" xr3:uid="{8A14E75F-68AF-4D2E-B88B-7445B47AE3ED}" name="Column30" totalsRowFunction="sum" headerRowDxfId="14" dataDxfId="13" totalsRowDxfId="12"/>
    <tableColumn id="29" xr3:uid="{6759CD5A-06A4-45D8-B3EC-E8712B79BBEC}" name="Column29" totalsRowFunction="sum" headerRowDxfId="11" dataDxfId="10" totalsRowDxfId="9">
      <calculatedColumnFormula>Others[[#This Row],[Column24]]-Others[[#This Row],[Column30]]</calculatedColumnFormula>
    </tableColumn>
    <tableColumn id="25" xr3:uid="{5DF227BC-9041-43FB-A81E-8482BAE5D0B4}" name="Column25" totalsRowFunction="custom" headerRowDxfId="8" dataDxfId="7" totalsRowDxfId="6">
      <calculatedColumnFormula>IFERROR(Others[[#This Row],[Column30]]/Others[[#This Row],[Column24]],0)</calculatedColumnFormula>
      <totalsRowFormula>IFERROR(Others[[#Totals],[Column30]]/Others[[#Totals],[Column24]],0)</totalsRowFormula>
    </tableColumn>
    <tableColumn id="26" xr3:uid="{CE59AEFB-E949-4578-B976-E6C4E8371C76}" name="Column26" totalsRowFunction="custom" headerRowDxfId="5" dataDxfId="4" totalsRowDxfId="3">
      <calculatedColumnFormula>IFERROR(Others[[#This Row],[Column24]]/Others[[#This Row],[Column19]],0)</calculatedColumnFormula>
      <totalsRowFormula>IFERROR(Others[[#Totals],[Column24]]/Others[[#Totals],[Column19]],0)</totalsRowFormula>
    </tableColumn>
    <tableColumn id="28" xr3:uid="{213E77DB-4CF9-4C42-BABF-E1B098CC390B}" name="Column232" headerRowDxfId="2" dataDxfId="1" totalsRowDxfId="0"/>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5FB99B1-5EC2-4D37-BC0A-1E142299744A}" name="Engineering6881" displayName="Engineering6881" ref="C33:S38" headerRowCount="0" totalsRowCount="1" headerRowDxfId="2831" dataDxfId="2830" totalsRowDxfId="2828" tableBorderDxfId="2829">
  <tableColumns count="17">
    <tableColumn id="1" xr3:uid="{4EAF7BDB-E782-4CAD-B4BA-7F141A3533AA}" name="Column1" headerRowDxfId="2827" dataDxfId="2826" totalsRowDxfId="2825"/>
    <tableColumn id="2" xr3:uid="{A7448A45-D431-442E-9955-44F5B3784529}" name="Column2" headerRowDxfId="2824" dataDxfId="2823" totalsRowDxfId="2822"/>
    <tableColumn id="3" xr3:uid="{81138984-468E-49F1-8628-078A0AF1DEBA}" name="Column3" headerRowDxfId="2821" dataDxfId="2820" totalsRowDxfId="2819"/>
    <tableColumn id="4" xr3:uid="{42FCA20A-B9F4-4660-B705-CD5CAC114A5F}" name="Column4" headerRowDxfId="2818" dataDxfId="2817" totalsRowDxfId="2816"/>
    <tableColumn id="5" xr3:uid="{E1FD3A00-EE2A-4A9D-A90F-685AA26DC68A}" name="Column5" headerRowDxfId="2815" dataDxfId="2814" totalsRowDxfId="2813"/>
    <tableColumn id="6" xr3:uid="{BD1AD530-48F4-493A-B138-275AA739C80D}" name="Column6" headerRowDxfId="2812" dataDxfId="2811" totalsRowDxfId="2810"/>
    <tableColumn id="7" xr3:uid="{42867C80-09C6-48EB-A951-08A23268E2D5}" name="Column7" totalsRowFunction="sum" headerRowDxfId="2809" dataDxfId="2808" totalsRowDxfId="2807"/>
    <tableColumn id="8" xr3:uid="{871ED93A-9244-48E8-AE62-8356493BCEBC}" name="Column8" totalsRowFunction="sum" headerRowDxfId="2806" dataDxfId="2805" totalsRowDxfId="2804"/>
    <tableColumn id="9" xr3:uid="{E6EBED00-F01E-4083-A219-4D5DEF3E17DF}" name="Column9" totalsRowFunction="sum" headerRowDxfId="2803" dataDxfId="2802" totalsRowDxfId="2801">
      <calculatedColumnFormula>Engineering6881[[#This Row],[Column7]]-Engineering6881[[#This Row],[Column8]]</calculatedColumnFormula>
    </tableColumn>
    <tableColumn id="10" xr3:uid="{C8B192EF-79D3-4280-A72A-94F8875042CB}" name="Column10" totalsRowFunction="custom" headerRowDxfId="2800" dataDxfId="2799" totalsRowDxfId="2798">
      <calculatedColumnFormula>IFERROR(J33/I33,0)</calculatedColumnFormula>
      <totalsRowFormula>IFERROR(J38/I38,0)</totalsRowFormula>
    </tableColumn>
    <tableColumn id="11" xr3:uid="{9D1AFF5B-0D2C-43EC-A105-9FDA03C03EC4}" name="Column11" totalsRowFunction="sum" headerRowDxfId="2797" dataDxfId="2796" totalsRowDxfId="2795"/>
    <tableColumn id="12" xr3:uid="{23AB4068-5A74-46AC-AB01-FF146402E73C}" name="Column12" totalsRowFunction="sum" headerRowDxfId="2794" dataDxfId="2793" totalsRowDxfId="2792"/>
    <tableColumn id="13" xr3:uid="{7498A04F-0863-4153-8BAB-B8CF21517316}" name="Column13" totalsRowFunction="sum" headerRowDxfId="2791" dataDxfId="2790" totalsRowDxfId="2789">
      <calculatedColumnFormula>Engineering6881[[#This Row],[Column11]]-Engineering6881[[#This Row],[Column12]]</calculatedColumnFormula>
    </tableColumn>
    <tableColumn id="14" xr3:uid="{B813902F-3F18-4BD1-9F21-65D3CE52518A}" name="Column14" totalsRowFunction="custom" headerRowDxfId="2788" dataDxfId="2787" totalsRowDxfId="2786">
      <calculatedColumnFormula>IFERROR(N33/M33,0)</calculatedColumnFormula>
      <totalsRowFormula>IFERROR(N38/M38,0)</totalsRowFormula>
    </tableColumn>
    <tableColumn id="15" xr3:uid="{9E5D9151-ECFE-4F0E-B02E-97CE3E936E3C}" name="Column15" totalsRowFunction="sum" headerRowDxfId="2785" dataDxfId="2784" totalsRowDxfId="2783"/>
    <tableColumn id="16" xr3:uid="{2514D681-2404-4B31-BAA1-BAC0FD190E25}" name="Column16" totalsRowFunction="sum" headerRowDxfId="2782" dataDxfId="2781" totalsRowDxfId="2780"/>
    <tableColumn id="17" xr3:uid="{BAD1809F-50CB-4B9D-8851-780F9FE83FD7}" name="Column17" totalsRowFunction="sum" headerRowDxfId="2779" dataDxfId="2778" totalsRowDxfId="2777"/>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3595B7D-7A5B-4C20-8413-5E24EF0BA6D9}" name="Engineering688182" displayName="Engineering688182" ref="C40:S45" headerRowCount="0" totalsRowCount="1" headerRowDxfId="2776" dataDxfId="2775" totalsRowDxfId="2773" tableBorderDxfId="2774">
  <tableColumns count="17">
    <tableColumn id="1" xr3:uid="{770ED5F2-4575-420A-8B04-44EB25B6717F}" name="Column1" headerRowDxfId="2772" dataDxfId="2771" totalsRowDxfId="2770"/>
    <tableColumn id="2" xr3:uid="{04CA10AC-0532-46F7-9DDE-D9E3BE0C6C28}" name="Column2" headerRowDxfId="2769" dataDxfId="2768" totalsRowDxfId="2767"/>
    <tableColumn id="3" xr3:uid="{A1B6081E-7543-4CA9-BF58-9DF23D8487A6}" name="Column3" headerRowDxfId="2766" dataDxfId="2765" totalsRowDxfId="2764"/>
    <tableColumn id="4" xr3:uid="{1B8463C2-08FF-4636-A991-AE6336040284}" name="Column4" headerRowDxfId="2763" dataDxfId="2762" totalsRowDxfId="2761"/>
    <tableColumn id="5" xr3:uid="{F39A4FC7-7FCB-4095-ADA2-0320959A91C7}" name="Column5" headerRowDxfId="2760" dataDxfId="2759" totalsRowDxfId="2758"/>
    <tableColumn id="6" xr3:uid="{47E634C9-3C48-4D72-AF54-B6E7760CCB7E}" name="Column6" headerRowDxfId="2757" dataDxfId="2756" totalsRowDxfId="2755"/>
    <tableColumn id="7" xr3:uid="{93D37D69-54D6-4440-9612-41456E967B8C}" name="Column7" totalsRowFunction="sum" headerRowDxfId="2754" dataDxfId="2753" totalsRowDxfId="2752"/>
    <tableColumn id="8" xr3:uid="{15C69FD6-40B6-4AFE-B1DC-5CFBD4E62AAD}" name="Column8" totalsRowFunction="sum" headerRowDxfId="2751" dataDxfId="2750" totalsRowDxfId="2749"/>
    <tableColumn id="9" xr3:uid="{B446F47D-4824-4253-8FAC-0EDA6C39E71C}" name="Column9" totalsRowFunction="sum" headerRowDxfId="2748" dataDxfId="2747" totalsRowDxfId="2746">
      <calculatedColumnFormula>Engineering688182[[#This Row],[Column7]]-Engineering688182[[#This Row],[Column8]]</calculatedColumnFormula>
    </tableColumn>
    <tableColumn id="10" xr3:uid="{2ED9B693-3C7D-481E-86AD-57D25D2145BC}" name="Column10" totalsRowFunction="custom" headerRowDxfId="2745" dataDxfId="2744" totalsRowDxfId="2743">
      <calculatedColumnFormula>IFERROR(J40/I40,0)</calculatedColumnFormula>
      <totalsRowFormula>IFERROR(J45/I45,0)</totalsRowFormula>
    </tableColumn>
    <tableColumn id="11" xr3:uid="{D70ECE73-9641-4E6C-A6C1-D40EA079F1A7}" name="Column11" totalsRowFunction="sum" headerRowDxfId="2742" dataDxfId="2741" totalsRowDxfId="2740"/>
    <tableColumn id="12" xr3:uid="{E13CB0CB-2D4F-4EF2-B424-41E2FADC69CD}" name="Column12" totalsRowFunction="sum" headerRowDxfId="2739" dataDxfId="2738" totalsRowDxfId="2737"/>
    <tableColumn id="13" xr3:uid="{48DC3D3B-E34C-4CDE-886D-76AC4D11B881}" name="Column13" totalsRowFunction="sum" headerRowDxfId="2736" dataDxfId="2735" totalsRowDxfId="2734">
      <calculatedColumnFormula>Engineering688182[[#This Row],[Column11]]-Engineering688182[[#This Row],[Column12]]</calculatedColumnFormula>
    </tableColumn>
    <tableColumn id="14" xr3:uid="{0118CFF6-77B4-4B9E-B8C8-4F742B94C3F6}" name="Column14" totalsRowFunction="custom" headerRowDxfId="2733" dataDxfId="2732" totalsRowDxfId="2731">
      <calculatedColumnFormula>IFERROR(N40/M40,0)</calculatedColumnFormula>
      <totalsRowFormula>IFERROR(N45/M45,0)</totalsRowFormula>
    </tableColumn>
    <tableColumn id="15" xr3:uid="{6F4CCDFF-9754-453F-888D-D3021C2AD60B}" name="Column15" totalsRowFunction="sum" headerRowDxfId="2730" dataDxfId="2729" totalsRowDxfId="2728"/>
    <tableColumn id="16" xr3:uid="{4DA5A6E1-0164-4C01-B876-1AC6E035AE5E}" name="Column16" totalsRowFunction="sum" headerRowDxfId="2727" dataDxfId="2726" totalsRowDxfId="2725"/>
    <tableColumn id="17" xr3:uid="{59CE8790-3E37-47BA-874F-A77D41571AB6}" name="Column17" totalsRowFunction="sum" headerRowDxfId="2724" dataDxfId="2723" totalsRowDxfId="2722">
      <calculatedColumnFormula>Engineering688182[[#This Row],[Column15]]-Engineering688182[[#This Row],[Column16]]</calculatedColumnFormula>
    </tableColumn>
  </tableColumns>
  <tableStyleInfo name="TableStyleMedium2"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8A8A761-2971-464B-B46C-58863C6BAEED}" name="Engineering688183" displayName="Engineering688183" ref="C47:S52" headerRowCount="0" totalsRowCount="1" headerRowDxfId="2721" dataDxfId="2720" totalsRowDxfId="2718" tableBorderDxfId="2719">
  <tableColumns count="17">
    <tableColumn id="1" xr3:uid="{E50D92F5-2407-4F9F-A73E-6359878E6E8D}" name="Column1" headerRowDxfId="2717" dataDxfId="2716" totalsRowDxfId="2715"/>
    <tableColumn id="2" xr3:uid="{1A37C8F9-F3BA-40A1-9DEE-DFC00C78FFEA}" name="Column2" headerRowDxfId="2714" dataDxfId="2713" totalsRowDxfId="2712"/>
    <tableColumn id="3" xr3:uid="{E4458439-4291-43D7-8229-FD087D85D09A}" name="Column3" headerRowDxfId="2711" dataDxfId="2710" totalsRowDxfId="2709"/>
    <tableColumn id="4" xr3:uid="{9C21B850-555D-48E4-BC41-C25689D0C99B}" name="Column4" headerRowDxfId="2708" dataDxfId="2707" totalsRowDxfId="2706"/>
    <tableColumn id="5" xr3:uid="{BBB9C0B3-FF88-4C6C-A597-3634ECBECF4A}" name="Column5" headerRowDxfId="2705" dataDxfId="2704" totalsRowDxfId="2703"/>
    <tableColumn id="6" xr3:uid="{E08DEBB8-CDB8-4EEC-8D9B-07ABE6111562}" name="Column6" headerRowDxfId="2702" dataDxfId="2701" totalsRowDxfId="2700"/>
    <tableColumn id="7" xr3:uid="{49CCEC21-66E8-44E7-859D-C1F9E7146D83}" name="Column7" totalsRowFunction="sum" headerRowDxfId="2699" dataDxfId="2698" totalsRowDxfId="2697"/>
    <tableColumn id="8" xr3:uid="{264BAF86-4695-4A82-AE3A-9A7606A74C84}" name="Column8" totalsRowFunction="sum" headerRowDxfId="2696" dataDxfId="2695" totalsRowDxfId="2694"/>
    <tableColumn id="9" xr3:uid="{8560B97C-B740-419E-9187-D83ED7EAB83D}" name="Column9" totalsRowFunction="sum" headerRowDxfId="2693" dataDxfId="2692" totalsRowDxfId="2691">
      <calculatedColumnFormula>Engineering688183[[#This Row],[Column7]]-Engineering688183[[#This Row],[Column8]]</calculatedColumnFormula>
    </tableColumn>
    <tableColumn id="10" xr3:uid="{6A98AE95-8D43-48EC-8302-806D297F8DAD}" name="Column10" totalsRowFunction="custom" headerRowDxfId="2690" dataDxfId="2689" totalsRowDxfId="2688">
      <calculatedColumnFormula>IFERROR(J49/I49,0)</calculatedColumnFormula>
      <totalsRowFormula>IFERROR(J52/I52,0)</totalsRowFormula>
    </tableColumn>
    <tableColumn id="11" xr3:uid="{7762842B-DA39-4F00-A36E-53CFCCC5CF59}" name="Column11" totalsRowFunction="sum" headerRowDxfId="2687" dataDxfId="2686" totalsRowDxfId="2685"/>
    <tableColumn id="12" xr3:uid="{57386E09-CBAE-4FB7-B107-B4575E6BC315}" name="Column12" totalsRowFunction="sum" headerRowDxfId="2684" dataDxfId="2683" totalsRowDxfId="2682"/>
    <tableColumn id="13" xr3:uid="{10325A0C-EB61-46A8-8A69-39FEA5B540FA}" name="Column13" totalsRowFunction="sum" headerRowDxfId="2681" dataDxfId="2680" totalsRowDxfId="2679">
      <calculatedColumnFormula>Engineering688183[[#This Row],[Column11]]-Engineering688183[[#This Row],[Column12]]</calculatedColumnFormula>
    </tableColumn>
    <tableColumn id="14" xr3:uid="{EB417FCA-F8F1-4DE6-94B4-51A9668A5351}" name="Column14" totalsRowFunction="custom" headerRowDxfId="2678" dataDxfId="2677" totalsRowDxfId="2676">
      <calculatedColumnFormula>IFERROR(N49/M49,0)</calculatedColumnFormula>
      <totalsRowFormula>IFERROR(N52/M52,0)</totalsRowFormula>
    </tableColumn>
    <tableColumn id="15" xr3:uid="{13B9D430-A381-4DEF-9125-0C828B4DC6CF}" name="Column15" totalsRowFunction="sum" headerRowDxfId="2675" dataDxfId="2674" totalsRowDxfId="2673"/>
    <tableColumn id="16" xr3:uid="{B5B1BA4B-E60C-4F34-A0AB-7B1A35F450C9}" name="Column16" totalsRowFunction="sum" headerRowDxfId="2672" dataDxfId="2671" totalsRowDxfId="2670"/>
    <tableColumn id="17" xr3:uid="{9E7A866B-6F3F-41B2-85F6-0B16D5A420FD}" name="Column17" totalsRowFunction="sum" headerRowDxfId="2669" dataDxfId="2668" totalsRowDxfId="2667">
      <calculatedColumnFormula>Engineering688183[[#This Row],[Column15]]-Engineering688183[[#This Row],[Column16]]</calculatedColumnFormula>
    </tableColumn>
  </tableColumns>
  <tableStyleInfo name="TableStyleMedium2"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B5BF8F0-F57B-4BD8-B3DB-6D686CE63383}" name="Engineering688184" displayName="Engineering688184" ref="C54:S59" headerRowCount="0" totalsRowCount="1" headerRowDxfId="2666" dataDxfId="2665" totalsRowDxfId="2663" tableBorderDxfId="2664">
  <tableColumns count="17">
    <tableColumn id="1" xr3:uid="{4B805626-714B-4E3F-97EE-3474A787589F}" name="Column1" headerRowDxfId="2662" dataDxfId="2661" totalsRowDxfId="2660"/>
    <tableColumn id="2" xr3:uid="{2FCD5CD1-F92F-4ABA-B151-7CC8D4A80793}" name="Column2" headerRowDxfId="2659" dataDxfId="2658" totalsRowDxfId="2657"/>
    <tableColumn id="3" xr3:uid="{CB5EBA48-6908-462B-8917-0239CFDE0343}" name="Column3" headerRowDxfId="2656" dataDxfId="2655" totalsRowDxfId="2654"/>
    <tableColumn id="4" xr3:uid="{6B3A95A1-BF94-4F65-A90A-5FD8E393267B}" name="Column4" headerRowDxfId="2653" dataDxfId="2652" totalsRowDxfId="2651"/>
    <tableColumn id="5" xr3:uid="{3424F764-D8BD-438D-AFA7-611B835A3ED7}" name="Column5" headerRowDxfId="2650" dataDxfId="2649" totalsRowDxfId="2648"/>
    <tableColumn id="6" xr3:uid="{B7B0D4EC-8FFB-4696-94B1-E8BD39BE2054}" name="Column6" headerRowDxfId="2647" dataDxfId="2646" totalsRowDxfId="2645"/>
    <tableColumn id="7" xr3:uid="{B960766E-913A-4719-A9AB-CE3A50F882FD}" name="Column7" totalsRowFunction="sum" headerRowDxfId="2644" dataDxfId="2643" totalsRowDxfId="2642"/>
    <tableColumn id="8" xr3:uid="{F55135BA-B6AD-47D8-ADA2-F9DA1A0E113D}" name="Column8" totalsRowFunction="sum" headerRowDxfId="2641" dataDxfId="2640" totalsRowDxfId="2639"/>
    <tableColumn id="9" xr3:uid="{805BB9DD-81EB-45AB-A520-B48DFA6E1C37}" name="Column9" totalsRowFunction="sum" headerRowDxfId="2638" dataDxfId="2637" totalsRowDxfId="2636">
      <calculatedColumnFormula>Engineering688184[[#This Row],[Column7]]-Engineering688184[[#This Row],[Column8]]</calculatedColumnFormula>
    </tableColumn>
    <tableColumn id="10" xr3:uid="{E3967DC7-73CD-4916-8104-901A755810CD}" name="Column10" totalsRowFunction="custom" headerRowDxfId="2635" dataDxfId="2634" totalsRowDxfId="2633">
      <calculatedColumnFormula>IFERROR(J56/I56,0)</calculatedColumnFormula>
      <totalsRowFormula>IFERROR(J59/I59,0)</totalsRowFormula>
    </tableColumn>
    <tableColumn id="11" xr3:uid="{2B1CB7B0-2E72-47A5-9712-F2D286E5EEE4}" name="Column11" totalsRowFunction="sum" headerRowDxfId="2632" dataDxfId="2631" totalsRowDxfId="2630"/>
    <tableColumn id="12" xr3:uid="{9740A83B-3447-4F90-8032-9D09C5DAE8C1}" name="Column12" totalsRowFunction="sum" headerRowDxfId="2629" dataDxfId="2628" totalsRowDxfId="2627"/>
    <tableColumn id="13" xr3:uid="{FABA5196-EFF2-4AD9-9257-F687D424A9CB}" name="Column13" totalsRowFunction="sum" headerRowDxfId="2626" dataDxfId="2625" totalsRowDxfId="2624">
      <calculatedColumnFormula>Engineering688184[[#This Row],[Column11]]-Engineering688184[[#This Row],[Column12]]</calculatedColumnFormula>
    </tableColumn>
    <tableColumn id="14" xr3:uid="{96F77352-96C6-4643-AA15-00C87FF7DFD2}" name="Column14" totalsRowFunction="custom" headerRowDxfId="2623" dataDxfId="2622" totalsRowDxfId="2621">
      <calculatedColumnFormula>IFERROR(N56/M56,0)</calculatedColumnFormula>
      <totalsRowFormula>IFERROR(N59/M59,0)</totalsRowFormula>
    </tableColumn>
    <tableColumn id="15" xr3:uid="{C44DBB4E-62A5-4EE1-A3AD-943B8B6355F3}" name="Column15" totalsRowFunction="sum" headerRowDxfId="2620" dataDxfId="2619" totalsRowDxfId="2618"/>
    <tableColumn id="16" xr3:uid="{607AC76F-C4DD-4414-A714-20CBD894F555}" name="Column16" totalsRowFunction="sum" headerRowDxfId="2617" dataDxfId="2616" totalsRowDxfId="2615"/>
    <tableColumn id="17" xr3:uid="{2C5D2EE6-77E5-4C39-A605-03A716B20535}" name="Column17" totalsRowFunction="sum" headerRowDxfId="2614" dataDxfId="2613" totalsRowDxfId="2612">
      <calculatedColumnFormula>Engineering688184[[#This Row],[Column15]]-Engineering688184[[#This Row],[Column16]]</calculatedColumnFormula>
    </tableColumn>
  </tableColumns>
  <tableStyleInfo name="TableStyleMedium2"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DBEA0E8-8F54-43EF-82C7-B78099E21BF8}" name="Engineering688185" displayName="Engineering688185" ref="C61:S66" headerRowCount="0" totalsRowCount="1" headerRowDxfId="2611" dataDxfId="2610" totalsRowDxfId="2608" tableBorderDxfId="2609">
  <tableColumns count="17">
    <tableColumn id="1" xr3:uid="{A443D802-CCF8-4B55-ADEC-03AAE4C7D611}" name="Column1" headerRowDxfId="2607" dataDxfId="2606" totalsRowDxfId="2605"/>
    <tableColumn id="2" xr3:uid="{A397B232-CD8A-4355-ABB3-D2BF74313282}" name="Column2" headerRowDxfId="2604" dataDxfId="2603" totalsRowDxfId="2602"/>
    <tableColumn id="3" xr3:uid="{B4643DC5-F331-45CA-90E4-FA40A6B0B9CB}" name="Column3" headerRowDxfId="2601" dataDxfId="2600" totalsRowDxfId="2599"/>
    <tableColumn id="4" xr3:uid="{B3A6EE15-093F-40B3-9429-9ACA17618ED0}" name="Column4" headerRowDxfId="2598" dataDxfId="2597" totalsRowDxfId="2596"/>
    <tableColumn id="5" xr3:uid="{0DCAAC6D-3FBC-4F44-88DC-065E991D309B}" name="Column5" headerRowDxfId="2595" dataDxfId="2594" totalsRowDxfId="2593"/>
    <tableColumn id="6" xr3:uid="{C3919DD0-D2C8-4D2B-9230-8AC1253779C0}" name="Column6" headerRowDxfId="2592" dataDxfId="2591" totalsRowDxfId="2590"/>
    <tableColumn id="7" xr3:uid="{A7F2F9A8-6797-4C98-986B-DF3E15DFECEB}" name="Column7" totalsRowFunction="sum" headerRowDxfId="2589" dataDxfId="2588" totalsRowDxfId="2587"/>
    <tableColumn id="8" xr3:uid="{C402B080-C4F0-46D3-930A-03974AFD13DC}" name="Column8" totalsRowFunction="sum" headerRowDxfId="2586" dataDxfId="2585" totalsRowDxfId="2584"/>
    <tableColumn id="9" xr3:uid="{E9CAC267-B4D6-4941-8E4E-C05E42EE5950}" name="Column9" totalsRowFunction="sum" headerRowDxfId="2583" dataDxfId="2582" totalsRowDxfId="2581">
      <calculatedColumnFormula>Engineering688185[[#This Row],[Column7]]-Engineering688185[[#This Row],[Column8]]</calculatedColumnFormula>
    </tableColumn>
    <tableColumn id="10" xr3:uid="{F0FFE5D0-36DA-4D88-8AF7-560EEFEC7722}" name="Column10" totalsRowFunction="custom" headerRowDxfId="2580" dataDxfId="2579" totalsRowDxfId="2578">
      <calculatedColumnFormula>IFERROR(J63/I63,0)</calculatedColumnFormula>
      <totalsRowFormula>IFERROR(J66/I66,0)</totalsRowFormula>
    </tableColumn>
    <tableColumn id="11" xr3:uid="{B3860AB1-FE93-4146-8223-AB9C6D09F6EE}" name="Column11" totalsRowFunction="sum" headerRowDxfId="2577" dataDxfId="2576" totalsRowDxfId="2575"/>
    <tableColumn id="12" xr3:uid="{808B9F74-D5F6-4D94-82F8-C71C7898EF00}" name="Column12" totalsRowFunction="sum" headerRowDxfId="2574" dataDxfId="2573" totalsRowDxfId="2572"/>
    <tableColumn id="13" xr3:uid="{69245485-D2FA-47C7-A95D-D6CBD9A72D2C}" name="Column13" totalsRowFunction="sum" headerRowDxfId="2571" dataDxfId="2570" totalsRowDxfId="2569">
      <calculatedColumnFormula>Engineering688185[[#This Row],[Column11]]-Engineering688185[[#This Row],[Column12]]</calculatedColumnFormula>
    </tableColumn>
    <tableColumn id="14" xr3:uid="{DEA5ACC3-DA12-45E8-A90E-1DCDC63461A0}" name="Column14" totalsRowFunction="custom" headerRowDxfId="2568" dataDxfId="2567" totalsRowDxfId="2566">
      <calculatedColumnFormula>IFERROR(N63/M63,0)</calculatedColumnFormula>
      <totalsRowFormula>IFERROR(N66/M66,0)</totalsRowFormula>
    </tableColumn>
    <tableColumn id="15" xr3:uid="{246D75C5-0D7F-40D2-BA34-B78405E3248C}" name="Column15" totalsRowFunction="sum" headerRowDxfId="2565" dataDxfId="2564" totalsRowDxfId="2563"/>
    <tableColumn id="16" xr3:uid="{F8D9A715-6DB4-44FE-8A2B-6B6BA9704EB1}" name="Column16" totalsRowFunction="sum" headerRowDxfId="2562" dataDxfId="2561" totalsRowDxfId="2560"/>
    <tableColumn id="17" xr3:uid="{E1D3BED5-1C27-47B2-B5CC-BAB0B6926BAE}" name="Column17" totalsRowFunction="sum" headerRowDxfId="2559" dataDxfId="2558" totalsRowDxfId="2557">
      <calculatedColumnFormula>Engineering688185[[#This Row],[Column15]]-Engineering688185[[#This Row],[Column16]]</calculatedColumnFormula>
    </tableColumn>
  </tableColumns>
  <tableStyleInfo name="TableStyleMedium2"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68D2B46-AD29-4440-8A72-2F9B927CD2A5}" name="Engineering688186" displayName="Engineering688186" ref="C68:S73" headerRowCount="0" totalsRowCount="1" headerRowDxfId="2556" dataDxfId="2555" totalsRowDxfId="2553" tableBorderDxfId="2554">
  <tableColumns count="17">
    <tableColumn id="1" xr3:uid="{2003BAE6-D1B1-44EC-942B-26055947E927}" name="Column1" headerRowDxfId="2552" dataDxfId="2551" totalsRowDxfId="2550"/>
    <tableColumn id="2" xr3:uid="{C4149A6B-4CC3-403F-AAD0-A14C03C76D02}" name="Column2" headerRowDxfId="2549" dataDxfId="2548" totalsRowDxfId="2547"/>
    <tableColumn id="3" xr3:uid="{6070B41B-2AD4-451D-B04F-746C1C89C91E}" name="Column3" headerRowDxfId="2546" dataDxfId="2545" totalsRowDxfId="2544"/>
    <tableColumn id="4" xr3:uid="{3F747AC0-C953-42BD-8ECB-539BD8941FCB}" name="Column4" headerRowDxfId="2543" dataDxfId="2542" totalsRowDxfId="2541"/>
    <tableColumn id="5" xr3:uid="{597A6BD0-C58A-4277-A3C2-FEB86245C547}" name="Column5" headerRowDxfId="2540" dataDxfId="2539" totalsRowDxfId="2538"/>
    <tableColumn id="6" xr3:uid="{41C66222-B618-479B-A8A8-49A41C9F84D5}" name="Column6" headerRowDxfId="2537" dataDxfId="2536" totalsRowDxfId="2535"/>
    <tableColumn id="7" xr3:uid="{9460DD22-7B7E-4D90-97A2-CA8A2E786E61}" name="Column7" totalsRowFunction="sum" headerRowDxfId="2534" dataDxfId="2533" totalsRowDxfId="2532"/>
    <tableColumn id="8" xr3:uid="{2C85EE5A-AE48-4035-B882-BEFA50022E8A}" name="Column8" totalsRowFunction="sum" headerRowDxfId="2531" dataDxfId="2530" totalsRowDxfId="2529"/>
    <tableColumn id="9" xr3:uid="{A9EAA0BE-5DAD-4503-A2AF-B876AAFC021F}" name="Column9" totalsRowFunction="sum" headerRowDxfId="2528" dataDxfId="2527" totalsRowDxfId="2526">
      <calculatedColumnFormula>Engineering688186[[#This Row],[Column7]]-Engineering688186[[#This Row],[Column8]]</calculatedColumnFormula>
    </tableColumn>
    <tableColumn id="10" xr3:uid="{5C8D69A1-2280-411F-9C9B-DB4DE7099ABF}" name="Column10" totalsRowFunction="custom" headerRowDxfId="2525" dataDxfId="2524" totalsRowDxfId="2523">
      <calculatedColumnFormula>IFERROR(J70/I70,0)</calculatedColumnFormula>
      <totalsRowFormula>IFERROR(J73/I73,0)</totalsRowFormula>
    </tableColumn>
    <tableColumn id="11" xr3:uid="{2E01ACE9-D2A3-46B4-8682-98CECC1D0450}" name="Column11" totalsRowFunction="sum" headerRowDxfId="2522" dataDxfId="2521" totalsRowDxfId="2520"/>
    <tableColumn id="12" xr3:uid="{3D9BA904-5C7A-4E62-9251-11E476AAFEC2}" name="Column12" totalsRowFunction="sum" headerRowDxfId="2519" dataDxfId="2518" totalsRowDxfId="2517"/>
    <tableColumn id="13" xr3:uid="{74964118-92E9-457F-AA38-A5864F86D957}" name="Column13" totalsRowFunction="sum" headerRowDxfId="2516" dataDxfId="2515" totalsRowDxfId="2514">
      <calculatedColumnFormula>Engineering688186[[#This Row],[Column11]]-Engineering688186[[#This Row],[Column12]]</calculatedColumnFormula>
    </tableColumn>
    <tableColumn id="14" xr3:uid="{AA768259-1B74-4FAD-9877-733859BE015E}" name="Column14" totalsRowFunction="custom" headerRowDxfId="2513" dataDxfId="2512" totalsRowDxfId="2511">
      <calculatedColumnFormula>IFERROR(N70/M70,0)</calculatedColumnFormula>
      <totalsRowFormula>IFERROR(N73/M73,0)</totalsRowFormula>
    </tableColumn>
    <tableColumn id="15" xr3:uid="{0EC38A80-4CD8-4DCA-9AA6-95B9FD8783F5}" name="Column15" totalsRowFunction="sum" headerRowDxfId="2510" dataDxfId="2509" totalsRowDxfId="2508"/>
    <tableColumn id="16" xr3:uid="{8BC092EF-F4C9-4984-87C5-5191A66CD6B4}" name="Column16" totalsRowFunction="sum" headerRowDxfId="2507" dataDxfId="2506" totalsRowDxfId="2505"/>
    <tableColumn id="17" xr3:uid="{52073015-7881-48B5-AFEE-2ED6C8BA43F4}" name="Column17" totalsRowFunction="sum" headerRowDxfId="2504" dataDxfId="2503" totalsRowDxfId="2502">
      <calculatedColumnFormula>Engineering688186[[#This Row],[Column15]]-Engineering688186[[#This Row],[Column16]]</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18" Type="http://schemas.openxmlformats.org/officeDocument/2006/relationships/table" Target="../tables/table16.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table" Target="../tables/table15.xml"/><Relationship Id="rId2" Type="http://schemas.openxmlformats.org/officeDocument/2006/relationships/drawing" Target="../drawings/drawing2.xml"/><Relationship Id="rId16" Type="http://schemas.openxmlformats.org/officeDocument/2006/relationships/table" Target="../tables/table14.xml"/><Relationship Id="rId20" Type="http://schemas.openxmlformats.org/officeDocument/2006/relationships/table" Target="../tables/table18.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19" Type="http://schemas.openxmlformats.org/officeDocument/2006/relationships/table" Target="../tables/table17.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0.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4"/>
  <sheetViews>
    <sheetView workbookViewId="0">
      <selection activeCell="F19" sqref="F19"/>
    </sheetView>
  </sheetViews>
  <sheetFormatPr baseColWidth="10" defaultColWidth="9.1640625" defaultRowHeight="17" x14ac:dyDescent="0.2"/>
  <cols>
    <col min="1" max="1" width="6.5" style="1" customWidth="1"/>
    <col min="2" max="2" width="93.5" style="1" customWidth="1"/>
    <col min="3" max="16384" width="9.1640625" style="1"/>
  </cols>
  <sheetData>
    <row r="1" spans="1:2" x14ac:dyDescent="0.2">
      <c r="B1" s="56"/>
    </row>
    <row r="2" spans="1:2" ht="28" x14ac:dyDescent="0.2">
      <c r="B2" s="57" t="s">
        <v>0</v>
      </c>
    </row>
    <row r="3" spans="1:2" ht="18" thickBot="1" x14ac:dyDescent="0.25">
      <c r="B3" s="58"/>
    </row>
    <row r="4" spans="1:2" ht="52.5" customHeight="1" x14ac:dyDescent="0.2">
      <c r="A4" s="591" t="s">
        <v>1</v>
      </c>
      <c r="B4" s="592"/>
    </row>
    <row r="5" spans="1:2" ht="25.5" customHeight="1" x14ac:dyDescent="0.2">
      <c r="A5" s="9"/>
      <c r="B5" s="59" t="s">
        <v>2</v>
      </c>
    </row>
    <row r="6" spans="1:2" s="2" customFormat="1" ht="19" customHeight="1" x14ac:dyDescent="0.2">
      <c r="A6" s="60" t="s">
        <v>3</v>
      </c>
      <c r="B6" s="59" t="s">
        <v>4</v>
      </c>
    </row>
    <row r="7" spans="1:2" s="2" customFormat="1" ht="19" customHeight="1" x14ac:dyDescent="0.2">
      <c r="A7" s="60" t="s">
        <v>5</v>
      </c>
      <c r="B7" s="59" t="s">
        <v>6</v>
      </c>
    </row>
    <row r="8" spans="1:2" s="2" customFormat="1" ht="21" x14ac:dyDescent="0.2">
      <c r="A8" s="60" t="s">
        <v>7</v>
      </c>
      <c r="B8" s="59" t="s">
        <v>8</v>
      </c>
    </row>
    <row r="9" spans="1:2" s="2" customFormat="1" ht="21" x14ac:dyDescent="0.2">
      <c r="A9" s="60" t="s">
        <v>9</v>
      </c>
      <c r="B9" s="59" t="s">
        <v>10</v>
      </c>
    </row>
    <row r="10" spans="1:2" s="2" customFormat="1" ht="21" x14ac:dyDescent="0.2">
      <c r="A10" s="60" t="s">
        <v>11</v>
      </c>
      <c r="B10" s="59" t="s">
        <v>12</v>
      </c>
    </row>
    <row r="11" spans="1:2" s="2" customFormat="1" ht="21" x14ac:dyDescent="0.2">
      <c r="A11" s="60" t="s">
        <v>13</v>
      </c>
      <c r="B11" s="59" t="s">
        <v>14</v>
      </c>
    </row>
    <row r="12" spans="1:2" s="2" customFormat="1" ht="21" x14ac:dyDescent="0.2">
      <c r="A12" s="60" t="s">
        <v>15</v>
      </c>
      <c r="B12" s="59" t="s">
        <v>16</v>
      </c>
    </row>
    <row r="13" spans="1:2" s="2" customFormat="1" ht="21" x14ac:dyDescent="0.2">
      <c r="A13" s="60" t="s">
        <v>17</v>
      </c>
      <c r="B13" s="59" t="s">
        <v>18</v>
      </c>
    </row>
    <row r="14" spans="1:2" s="2" customFormat="1" ht="21" x14ac:dyDescent="0.2">
      <c r="A14" s="60" t="s">
        <v>19</v>
      </c>
      <c r="B14" s="59" t="s">
        <v>20</v>
      </c>
    </row>
    <row r="15" spans="1:2" s="2" customFormat="1" ht="21" x14ac:dyDescent="0.2">
      <c r="A15" s="60" t="s">
        <v>21</v>
      </c>
      <c r="B15" s="59" t="s">
        <v>22</v>
      </c>
    </row>
    <row r="16" spans="1:2" s="2" customFormat="1" ht="21" x14ac:dyDescent="0.2">
      <c r="A16" s="60" t="s">
        <v>23</v>
      </c>
      <c r="B16" s="59" t="s">
        <v>24</v>
      </c>
    </row>
    <row r="17" spans="1:2" s="2" customFormat="1" ht="21" x14ac:dyDescent="0.2">
      <c r="A17" s="60" t="s">
        <v>25</v>
      </c>
      <c r="B17" s="59" t="s">
        <v>26</v>
      </c>
    </row>
    <row r="18" spans="1:2" s="2" customFormat="1" ht="21" x14ac:dyDescent="0.2">
      <c r="A18" s="60" t="s">
        <v>27</v>
      </c>
      <c r="B18" s="59" t="s">
        <v>28</v>
      </c>
    </row>
    <row r="19" spans="1:2" s="2" customFormat="1" ht="21" x14ac:dyDescent="0.2">
      <c r="A19" s="60" t="s">
        <v>29</v>
      </c>
      <c r="B19" s="59" t="s">
        <v>30</v>
      </c>
    </row>
    <row r="20" spans="1:2" s="2" customFormat="1" ht="21" x14ac:dyDescent="0.2">
      <c r="A20" s="60" t="s">
        <v>31</v>
      </c>
      <c r="B20" s="59" t="s">
        <v>32</v>
      </c>
    </row>
    <row r="21" spans="1:2" s="2" customFormat="1" ht="21" x14ac:dyDescent="0.2">
      <c r="A21" s="60" t="s">
        <v>33</v>
      </c>
      <c r="B21" s="59" t="s">
        <v>34</v>
      </c>
    </row>
    <row r="22" spans="1:2" s="2" customFormat="1" ht="21" x14ac:dyDescent="0.2">
      <c r="A22" s="60" t="s">
        <v>35</v>
      </c>
      <c r="B22" s="59" t="s">
        <v>36</v>
      </c>
    </row>
    <row r="23" spans="1:2" s="2" customFormat="1" ht="22" thickBot="1" x14ac:dyDescent="0.25">
      <c r="A23" s="67" t="s">
        <v>37</v>
      </c>
      <c r="B23" s="61" t="s">
        <v>38</v>
      </c>
    </row>
    <row r="24" spans="1:2" s="2" customFormat="1" ht="20" x14ac:dyDescent="0.2">
      <c r="A24" s="68"/>
    </row>
  </sheetData>
  <mergeCells count="1">
    <mergeCell ref="A4:B4"/>
  </mergeCells>
  <phoneticPr fontId="19" type="noConversion"/>
  <hyperlinks>
    <hyperlink ref="B6" location="'#1'!A1" display="Feed And Detailed Engineering And Other Engineering Services" xr:uid="{00000000-0004-0000-0000-000000000000}"/>
    <hyperlink ref="B7" location="'#2'!A1" display="Fabrication And Construction" xr:uid="{00000000-0004-0000-0000-000001000000}"/>
    <hyperlink ref="B8" location="'#3'!A1" display="Materials And Procurement" xr:uid="{00000000-0004-0000-0000-000002000000}"/>
    <hyperlink ref="B9" location="'#4'!A1" display="Well &amp; Drilling Services / Petroleum Technology" xr:uid="{00000000-0004-0000-0000-000003000000}"/>
    <hyperlink ref="B10" location="'#5'!A1" display="Research And Development" xr:uid="{00000000-0004-0000-0000-000004000000}"/>
    <hyperlink ref="B11" location="'#6'!A1" display="Exploration, Subsurface, Petroleum Engineering &amp; Seismic" xr:uid="{00000000-0004-0000-0000-000005000000}"/>
    <hyperlink ref="B12" location="'#7'!A1" display="Transportation / Supply / Disposal Services" xr:uid="{00000000-0004-0000-0000-000006000000}"/>
    <hyperlink ref="B13" location="'#8'!A1" display="Health, Safety &amp; Environment" xr:uid="{00000000-0004-0000-0000-000007000000}"/>
    <hyperlink ref="B14" location="'#9'!A1" display="Information Systems / Information Technology / Communication Services" xr:uid="{00000000-0004-0000-0000-000008000000}"/>
    <hyperlink ref="B15" location="'#10'!A1" display="Marine, Operations &amp; Logistics Services" xr:uid="{00000000-0004-0000-0000-000009000000}"/>
    <hyperlink ref="B16" location="'#11'!A1" display="Finance &amp; Insurance" xr:uid="{00000000-0004-0000-0000-00000A000000}"/>
    <hyperlink ref="B17" location="'#12'!A1" display="Installation, Hookup &amp; Commissioning" xr:uid="{00000000-0004-0000-0000-00000B000000}"/>
    <hyperlink ref="B18" location="'#13'!A1" display="Inspection, Testing &amp; Certification" xr:uid="{00000000-0004-0000-0000-00000C000000}"/>
    <hyperlink ref="B19" location="'#14'!A1" display="Project Management / Consulting Services" xr:uid="{00000000-0004-0000-0000-00000D000000}"/>
    <hyperlink ref="B20" location="'#15'!A1" display="Surveying / Positioning Services" xr:uid="{00000000-0004-0000-0000-00000E000000}"/>
    <hyperlink ref="B21" location="'#16'!A1" display="Modification &amp; Maintenance" xr:uid="{00000000-0004-0000-0000-00000F000000}"/>
    <hyperlink ref="B22" location="'#17'!A1" display="Shipping" xr:uid="{00000000-0004-0000-0000-000010000000}"/>
    <hyperlink ref="B23" location="'#18'!A1" display="Others" xr:uid="{00000000-0004-0000-0000-000011000000}"/>
    <hyperlink ref="B5" location="Summary!A1" display="Summary" xr:uid="{00000000-0004-0000-0000-000012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C18C4-C190-4DE0-A950-9BE920C37EF5}">
  <dimension ref="A1:AI14"/>
  <sheetViews>
    <sheetView view="pageBreakPreview" topLeftCell="G6" zoomScale="50" zoomScaleNormal="55" zoomScaleSheetLayoutView="50" workbookViewId="0">
      <selection activeCell="Y28" sqref="Y28"/>
    </sheetView>
  </sheetViews>
  <sheetFormatPr baseColWidth="10" defaultColWidth="8.6640625" defaultRowHeight="17" x14ac:dyDescent="0.2"/>
  <cols>
    <col min="1" max="1" width="13.5" style="2" customWidth="1"/>
    <col min="2" max="2" width="32.33203125" style="2" customWidth="1"/>
    <col min="3" max="3" width="33.5" style="2" customWidth="1"/>
    <col min="4" max="4" width="29.5" style="2" customWidth="1"/>
    <col min="5" max="6" width="27.33203125" style="2" customWidth="1"/>
    <col min="7" max="8" width="36.1640625" style="2" customWidth="1"/>
    <col min="9" max="10" width="11.5" style="2" customWidth="1"/>
    <col min="11" max="11" width="14.5" style="2" customWidth="1"/>
    <col min="12" max="12" width="11.5" style="2" customWidth="1"/>
    <col min="13" max="15" width="14.83203125" style="2" customWidth="1"/>
    <col min="16" max="16" width="6.83203125" style="2" customWidth="1"/>
    <col min="17" max="17" width="13.33203125" style="2" customWidth="1"/>
    <col min="18" max="21" width="13" style="2" customWidth="1"/>
    <col min="22" max="22" width="32.1640625" style="2" bestFit="1" customWidth="1"/>
    <col min="23" max="23" width="20.33203125" style="2" customWidth="1"/>
    <col min="24" max="26" width="14.83203125" style="2" customWidth="1"/>
    <col min="27" max="29" width="15.1640625" style="2" customWidth="1"/>
    <col min="30" max="30" width="14.83203125" style="2" customWidth="1"/>
    <col min="31" max="31" width="33.5" style="2" customWidth="1"/>
    <col min="32" max="34" width="21" style="2" customWidth="1"/>
    <col min="35" max="35" width="27" style="2" customWidth="1"/>
    <col min="36" max="16384" width="8.6640625" style="102"/>
  </cols>
  <sheetData>
    <row r="1" spans="1:35" ht="18" hidden="1" thickBot="1" x14ac:dyDescent="0.25">
      <c r="B1" s="3" t="s">
        <v>123</v>
      </c>
    </row>
    <row r="2" spans="1:35" hidden="1" x14ac:dyDescent="0.2">
      <c r="B2" s="26" t="s">
        <v>40</v>
      </c>
      <c r="C2" s="238">
        <f>'#1'!C2</f>
        <v>0</v>
      </c>
      <c r="D2" s="25" t="s">
        <v>41</v>
      </c>
      <c r="E2" s="239">
        <f>'#2'!E2</f>
        <v>0</v>
      </c>
      <c r="F2" s="105"/>
    </row>
    <row r="3" spans="1:35" hidden="1" x14ac:dyDescent="0.2">
      <c r="B3" s="106" t="s">
        <v>42</v>
      </c>
      <c r="C3" s="240">
        <f>'#1'!C3</f>
        <v>0</v>
      </c>
      <c r="D3" s="105" t="s">
        <v>43</v>
      </c>
      <c r="E3" s="241">
        <f>'#2'!E3</f>
        <v>0</v>
      </c>
      <c r="F3" s="105"/>
    </row>
    <row r="4" spans="1:35" ht="35" hidden="1" thickBot="1" x14ac:dyDescent="0.25">
      <c r="B4" s="13" t="s">
        <v>44</v>
      </c>
      <c r="C4" s="108">
        <f>'#1'!C4</f>
        <v>0</v>
      </c>
      <c r="D4" s="109" t="s">
        <v>45</v>
      </c>
      <c r="E4" s="242">
        <f>'#2'!E4</f>
        <v>0</v>
      </c>
      <c r="F4" s="15"/>
    </row>
    <row r="5" spans="1:35" ht="18" hidden="1" thickBot="1" x14ac:dyDescent="0.25"/>
    <row r="6" spans="1:35" s="2" customFormat="1" ht="83.5" customHeight="1" thickBot="1" x14ac:dyDescent="0.25">
      <c r="A6" s="525" t="s">
        <v>130</v>
      </c>
      <c r="B6" s="522"/>
      <c r="C6" s="522"/>
      <c r="D6" s="522"/>
      <c r="E6" s="522"/>
      <c r="F6" s="522"/>
      <c r="G6" s="522"/>
      <c r="H6" s="522"/>
      <c r="I6" s="522"/>
      <c r="J6" s="522"/>
      <c r="K6" s="522"/>
      <c r="L6" s="522"/>
      <c r="M6" s="522"/>
      <c r="N6" s="522"/>
      <c r="O6" s="522"/>
      <c r="P6" s="522"/>
      <c r="Q6" s="522"/>
      <c r="R6" s="522"/>
      <c r="S6" s="522"/>
      <c r="T6" s="522"/>
      <c r="U6" s="522"/>
      <c r="V6" s="522"/>
      <c r="W6" s="522"/>
      <c r="X6" s="522"/>
      <c r="Y6" s="522"/>
      <c r="Z6" s="522"/>
      <c r="AA6" s="522"/>
      <c r="AB6" s="522"/>
      <c r="AC6" s="522"/>
      <c r="AD6" s="522"/>
      <c r="AE6" s="522"/>
      <c r="AF6" s="522"/>
      <c r="AG6" s="522"/>
      <c r="AH6" s="522"/>
      <c r="AI6" s="523"/>
    </row>
    <row r="7" spans="1:35" s="2" customFormat="1" ht="83.5" customHeight="1" thickBot="1" x14ac:dyDescent="0.25">
      <c r="A7" s="623" t="s">
        <v>50</v>
      </c>
      <c r="B7" s="625" t="s">
        <v>116</v>
      </c>
      <c r="C7" s="627" t="s">
        <v>52</v>
      </c>
      <c r="D7" s="629" t="s">
        <v>53</v>
      </c>
      <c r="E7" s="630"/>
      <c r="F7" s="631"/>
      <c r="G7" s="632" t="s">
        <v>80</v>
      </c>
      <c r="H7" s="664" t="s">
        <v>81</v>
      </c>
      <c r="I7" s="668" t="s">
        <v>129</v>
      </c>
      <c r="J7" s="666"/>
      <c r="K7" s="666"/>
      <c r="L7" s="667"/>
      <c r="M7" s="511" t="s">
        <v>108</v>
      </c>
      <c r="N7" s="512"/>
      <c r="O7" s="512"/>
      <c r="P7" s="512"/>
      <c r="Q7" s="314" t="s">
        <v>150</v>
      </c>
      <c r="R7" s="668" t="s">
        <v>109</v>
      </c>
      <c r="S7" s="666"/>
      <c r="T7" s="666"/>
      <c r="U7" s="667"/>
      <c r="V7" s="629" t="s">
        <v>110</v>
      </c>
      <c r="W7" s="630"/>
      <c r="X7" s="630"/>
      <c r="Y7" s="631"/>
      <c r="Z7" s="636" t="s">
        <v>57</v>
      </c>
      <c r="AA7" s="637"/>
      <c r="AB7" s="637"/>
      <c r="AC7" s="638"/>
      <c r="AD7" s="661" t="s">
        <v>119</v>
      </c>
      <c r="AE7" s="662"/>
      <c r="AF7" s="662"/>
      <c r="AG7" s="663"/>
      <c r="AH7" s="314" t="s">
        <v>151</v>
      </c>
      <c r="AI7" s="315" t="s">
        <v>120</v>
      </c>
    </row>
    <row r="8" spans="1:35" s="2" customFormat="1" ht="83.5" customHeight="1" thickBot="1" x14ac:dyDescent="0.25">
      <c r="A8" s="624"/>
      <c r="B8" s="626"/>
      <c r="C8" s="628"/>
      <c r="D8" s="201" t="s">
        <v>59</v>
      </c>
      <c r="E8" s="202" t="s">
        <v>86</v>
      </c>
      <c r="F8" s="203" t="s">
        <v>87</v>
      </c>
      <c r="G8" s="633"/>
      <c r="H8" s="665"/>
      <c r="I8" s="199" t="s">
        <v>64</v>
      </c>
      <c r="J8" s="204" t="s">
        <v>88</v>
      </c>
      <c r="K8" s="204" t="s">
        <v>89</v>
      </c>
      <c r="L8" s="200" t="s">
        <v>47</v>
      </c>
      <c r="M8" s="199" t="s">
        <v>64</v>
      </c>
      <c r="N8" s="204" t="s">
        <v>88</v>
      </c>
      <c r="O8" s="204" t="s">
        <v>89</v>
      </c>
      <c r="P8" s="200" t="s">
        <v>47</v>
      </c>
      <c r="Q8" s="503" t="s">
        <v>96</v>
      </c>
      <c r="R8" s="199" t="s">
        <v>64</v>
      </c>
      <c r="S8" s="204" t="s">
        <v>88</v>
      </c>
      <c r="T8" s="204" t="s">
        <v>89</v>
      </c>
      <c r="U8" s="200" t="s">
        <v>47</v>
      </c>
      <c r="V8" s="199" t="s">
        <v>64</v>
      </c>
      <c r="W8" s="204" t="s">
        <v>88</v>
      </c>
      <c r="X8" s="204" t="s">
        <v>89</v>
      </c>
      <c r="Y8" s="200" t="s">
        <v>47</v>
      </c>
      <c r="Z8" s="199" t="s">
        <v>90</v>
      </c>
      <c r="AA8" s="204" t="s">
        <v>91</v>
      </c>
      <c r="AB8" s="204" t="s">
        <v>92</v>
      </c>
      <c r="AC8" s="200" t="s">
        <v>47</v>
      </c>
      <c r="AD8" s="199" t="s">
        <v>90</v>
      </c>
      <c r="AE8" s="205" t="s">
        <v>93</v>
      </c>
      <c r="AF8" s="204" t="s">
        <v>94</v>
      </c>
      <c r="AG8" s="204" t="s">
        <v>95</v>
      </c>
      <c r="AH8" s="204" t="s">
        <v>96</v>
      </c>
      <c r="AI8" s="200" t="s">
        <v>97</v>
      </c>
    </row>
    <row r="9" spans="1:35" ht="83.5" customHeight="1" x14ac:dyDescent="0.2">
      <c r="A9" s="4">
        <v>1</v>
      </c>
      <c r="B9" s="62"/>
      <c r="C9" s="111" t="s">
        <v>121</v>
      </c>
      <c r="D9" s="111"/>
      <c r="E9" s="111"/>
      <c r="F9" s="111"/>
      <c r="G9" s="112"/>
      <c r="H9" s="113"/>
      <c r="I9" s="317">
        <v>0</v>
      </c>
      <c r="J9" s="10">
        <v>0</v>
      </c>
      <c r="K9" s="318">
        <f>Res[[#This Row],[Column7]]-Res[[#This Row],[Column8]]</f>
        <v>0</v>
      </c>
      <c r="L9" s="319">
        <f>IFERROR(Res[[#This Row],[Column8]]/Res[[#This Row],[Column7]],0)</f>
        <v>0</v>
      </c>
      <c r="M9" s="317">
        <v>0</v>
      </c>
      <c r="N9" s="10">
        <v>0</v>
      </c>
      <c r="O9" s="318">
        <f>Res[[#This Row],[Column10]]-Res[[#This Row],[Column11]]</f>
        <v>0</v>
      </c>
      <c r="P9" s="319">
        <f>IFERROR(N9/M9,0)</f>
        <v>0</v>
      </c>
      <c r="Q9" s="319">
        <f>IFERROR(Res[[#This Row],[Column10]]/Res[[#This Row],[Column7]],0)</f>
        <v>0</v>
      </c>
      <c r="R9" s="317">
        <v>0</v>
      </c>
      <c r="S9" s="10">
        <v>0</v>
      </c>
      <c r="T9" s="318">
        <f>Res[[#This Row],[Column23]]-Res[[#This Row],[Column27]]</f>
        <v>0</v>
      </c>
      <c r="U9" s="319">
        <f>IFERROR(Res[[#This Row],[Column27]]/Res[[#This Row],[Column23]],0)</f>
        <v>0</v>
      </c>
      <c r="V9" s="317">
        <v>0</v>
      </c>
      <c r="W9" s="10">
        <v>0</v>
      </c>
      <c r="X9" s="318">
        <f>Res[[#This Row],[Column15]]-Res[[#This Row],[Column16]]</f>
        <v>0</v>
      </c>
      <c r="Y9" s="319">
        <f>IFERROR(W9/V9,0)</f>
        <v>0</v>
      </c>
      <c r="Z9" s="320">
        <v>0</v>
      </c>
      <c r="AA9" s="34">
        <v>0</v>
      </c>
      <c r="AB9" s="321">
        <f>Res[[#This Row],[Column19]]-Res[[#This Row],[Column20]]</f>
        <v>0</v>
      </c>
      <c r="AC9" s="322">
        <f>IFERROR(AA9/Z9,0)</f>
        <v>0</v>
      </c>
      <c r="AD9" s="323">
        <v>0</v>
      </c>
      <c r="AE9" s="324">
        <v>0</v>
      </c>
      <c r="AF9" s="321">
        <f>Res[[#This Row],[Column24]]-Res[[#This Row],[Column30]]</f>
        <v>0</v>
      </c>
      <c r="AG9" s="322">
        <f>IFERROR(Res[[#This Row],[Column30]]/Res[[#This Row],[Column24]],0)</f>
        <v>0</v>
      </c>
      <c r="AH9" s="35">
        <f>IFERROR(Res[[#This Row],[Column24]]/Res[[#This Row],[Column19]],0)</f>
        <v>0</v>
      </c>
      <c r="AI9" s="325"/>
    </row>
    <row r="10" spans="1:35" ht="83.5" customHeight="1" x14ac:dyDescent="0.2">
      <c r="A10" s="4">
        <v>2</v>
      </c>
      <c r="B10" s="62"/>
      <c r="C10" s="111" t="s">
        <v>121</v>
      </c>
      <c r="D10" s="111"/>
      <c r="E10" s="111"/>
      <c r="F10" s="111"/>
      <c r="G10" s="126"/>
      <c r="H10" s="127"/>
      <c r="I10" s="118">
        <v>0</v>
      </c>
      <c r="J10" s="119">
        <v>0</v>
      </c>
      <c r="K10" s="120">
        <f>Res[[#This Row],[Column7]]-Res[[#This Row],[Column8]]</f>
        <v>0</v>
      </c>
      <c r="L10" s="81">
        <f>IFERROR(Res[[#This Row],[Column8]]/Res[[#This Row],[Column7]],0)</f>
        <v>0</v>
      </c>
      <c r="M10" s="118">
        <v>0</v>
      </c>
      <c r="N10" s="119">
        <v>0</v>
      </c>
      <c r="O10" s="120">
        <f>Res[[#This Row],[Column10]]-Res[[#This Row],[Column11]]</f>
        <v>0</v>
      </c>
      <c r="P10" s="81">
        <f t="shared" ref="P10:P12" si="0">IFERROR(N10/M10,0)</f>
        <v>0</v>
      </c>
      <c r="Q10" s="81">
        <f>IFERROR(Res[[#This Row],[Column10]]/Res[[#This Row],[Column7]],0)</f>
        <v>0</v>
      </c>
      <c r="R10" s="118">
        <v>0</v>
      </c>
      <c r="S10" s="119">
        <v>0</v>
      </c>
      <c r="T10" s="120">
        <f>Res[[#This Row],[Column23]]-Res[[#This Row],[Column27]]</f>
        <v>0</v>
      </c>
      <c r="U10" s="81">
        <f>IFERROR(Res[[#This Row],[Column27]]/Res[[#This Row],[Column23]],0)</f>
        <v>0</v>
      </c>
      <c r="V10" s="118">
        <v>0</v>
      </c>
      <c r="W10" s="119">
        <v>0</v>
      </c>
      <c r="X10" s="120">
        <f>Res[[#This Row],[Column15]]-Res[[#This Row],[Column16]]</f>
        <v>0</v>
      </c>
      <c r="Y10" s="81">
        <f>IFERROR(W12/V12,0)</f>
        <v>0</v>
      </c>
      <c r="Z10" s="121">
        <v>0</v>
      </c>
      <c r="AA10" s="122">
        <v>0</v>
      </c>
      <c r="AB10" s="123">
        <f>Res[[#This Row],[Column19]]-Res[[#This Row],[Column20]]</f>
        <v>0</v>
      </c>
      <c r="AC10" s="82">
        <f t="shared" ref="AC10:AC12" si="1">IFERROR(AA10/Z10,0)</f>
        <v>0</v>
      </c>
      <c r="AD10" s="124">
        <v>0</v>
      </c>
      <c r="AE10" s="125">
        <v>0</v>
      </c>
      <c r="AF10" s="123">
        <v>0</v>
      </c>
      <c r="AG10" s="82">
        <f>IFERROR(Res[[#This Row],[Column30]]/Res[[#This Row],[Column24]],0)</f>
        <v>0</v>
      </c>
      <c r="AH10" s="6">
        <f>IFERROR(Res[[#This Row],[Column24]]/Res[[#This Row],[Column19]],0)</f>
        <v>0</v>
      </c>
      <c r="AI10" s="130"/>
    </row>
    <row r="11" spans="1:35" ht="83.5" customHeight="1" x14ac:dyDescent="0.2">
      <c r="A11" s="4">
        <v>3</v>
      </c>
      <c r="B11" s="62"/>
      <c r="C11" s="111" t="s">
        <v>121</v>
      </c>
      <c r="D11" s="111"/>
      <c r="E11" s="111"/>
      <c r="F11" s="111"/>
      <c r="G11" s="126"/>
      <c r="H11" s="127"/>
      <c r="I11" s="118">
        <v>0</v>
      </c>
      <c r="J11" s="119">
        <v>0</v>
      </c>
      <c r="K11" s="120">
        <f>Res[[#This Row],[Column7]]-Res[[#This Row],[Column8]]</f>
        <v>0</v>
      </c>
      <c r="L11" s="81">
        <f>IFERROR(Res[[#This Row],[Column8]]/Res[[#This Row],[Column7]],0)</f>
        <v>0</v>
      </c>
      <c r="M11" s="118">
        <v>0</v>
      </c>
      <c r="N11" s="119">
        <v>0</v>
      </c>
      <c r="O11" s="120">
        <f>Res[[#This Row],[Column10]]-Res[[#This Row],[Column11]]</f>
        <v>0</v>
      </c>
      <c r="P11" s="81">
        <f t="shared" si="0"/>
        <v>0</v>
      </c>
      <c r="Q11" s="81">
        <f>IFERROR(Res[[#This Row],[Column10]]/Res[[#This Row],[Column7]],0)</f>
        <v>0</v>
      </c>
      <c r="R11" s="118">
        <v>0</v>
      </c>
      <c r="S11" s="119">
        <v>0</v>
      </c>
      <c r="T11" s="120">
        <f>Res[[#This Row],[Column23]]-Res[[#This Row],[Column27]]</f>
        <v>0</v>
      </c>
      <c r="U11" s="81">
        <f>IFERROR(Res[[#This Row],[Column27]]/Res[[#This Row],[Column23]],0)</f>
        <v>0</v>
      </c>
      <c r="V11" s="118">
        <v>0</v>
      </c>
      <c r="W11" s="119">
        <v>0</v>
      </c>
      <c r="X11" s="120">
        <f>Res[[#This Row],[Column15]]-Res[[#This Row],[Column16]]</f>
        <v>0</v>
      </c>
      <c r="Y11" s="81">
        <f>IFERROR(W11/V11,0)</f>
        <v>0</v>
      </c>
      <c r="Z11" s="121">
        <v>0</v>
      </c>
      <c r="AA11" s="122">
        <v>0</v>
      </c>
      <c r="AB11" s="123">
        <f>Res[[#This Row],[Column19]]-Res[[#This Row],[Column20]]</f>
        <v>0</v>
      </c>
      <c r="AC11" s="82">
        <f t="shared" si="1"/>
        <v>0</v>
      </c>
      <c r="AD11" s="124">
        <v>0</v>
      </c>
      <c r="AE11" s="125">
        <v>0</v>
      </c>
      <c r="AF11" s="123">
        <v>0</v>
      </c>
      <c r="AG11" s="82">
        <f>IFERROR(Res[[#This Row],[Column30]]/Res[[#This Row],[Column24]],0)</f>
        <v>0</v>
      </c>
      <c r="AH11" s="6">
        <f>IFERROR(Res[[#This Row],[Column24]]/Res[[#This Row],[Column19]],0)</f>
        <v>0</v>
      </c>
      <c r="AI11" s="36"/>
    </row>
    <row r="12" spans="1:35" ht="73" thickBot="1" x14ac:dyDescent="0.25">
      <c r="A12" s="4">
        <v>4</v>
      </c>
      <c r="B12" s="62"/>
      <c r="C12" s="111" t="s">
        <v>121</v>
      </c>
      <c r="D12" s="111"/>
      <c r="E12" s="111"/>
      <c r="F12" s="111"/>
      <c r="G12" s="131"/>
      <c r="H12" s="132"/>
      <c r="I12" s="137">
        <v>0</v>
      </c>
      <c r="J12" s="75">
        <v>0</v>
      </c>
      <c r="K12" s="138">
        <f>Res[[#This Row],[Column7]]-Res[[#This Row],[Column8]]</f>
        <v>0</v>
      </c>
      <c r="L12" s="83">
        <f>IFERROR(Res[[#This Row],[Column8]]/Res[[#This Row],[Column7]],0)</f>
        <v>0</v>
      </c>
      <c r="M12" s="137">
        <v>0</v>
      </c>
      <c r="N12" s="75">
        <v>0</v>
      </c>
      <c r="O12" s="138">
        <f>Res[[#This Row],[Column10]]-Res[[#This Row],[Column11]]</f>
        <v>0</v>
      </c>
      <c r="P12" s="83">
        <f t="shared" si="0"/>
        <v>0</v>
      </c>
      <c r="Q12" s="83">
        <f>IFERROR(Res[[#This Row],[Column10]]/Res[[#This Row],[Column7]],0)</f>
        <v>0</v>
      </c>
      <c r="R12" s="137">
        <v>0</v>
      </c>
      <c r="S12" s="75">
        <v>0</v>
      </c>
      <c r="T12" s="138">
        <f>Res[[#This Row],[Column23]]-Res[[#This Row],[Column27]]</f>
        <v>0</v>
      </c>
      <c r="U12" s="83">
        <f>IFERROR(Res[[#This Row],[Column27]]/Res[[#This Row],[Column23]],0)</f>
        <v>0</v>
      </c>
      <c r="V12" s="137">
        <v>0</v>
      </c>
      <c r="W12" s="75">
        <v>0</v>
      </c>
      <c r="X12" s="138">
        <f>Res[[#This Row],[Column15]]-Res[[#This Row],[Column16]]</f>
        <v>0</v>
      </c>
      <c r="Y12" s="83">
        <f>IFERROR(W12/V12,0)</f>
        <v>0</v>
      </c>
      <c r="Z12" s="139">
        <v>0</v>
      </c>
      <c r="AA12" s="140">
        <v>0</v>
      </c>
      <c r="AB12" s="141">
        <f>Res[[#This Row],[Column19]]-Res[[#This Row],[Column20]]</f>
        <v>0</v>
      </c>
      <c r="AC12" s="84">
        <f t="shared" si="1"/>
        <v>0</v>
      </c>
      <c r="AD12" s="142">
        <v>0</v>
      </c>
      <c r="AE12" s="143">
        <v>0</v>
      </c>
      <c r="AF12" s="141">
        <v>0</v>
      </c>
      <c r="AG12" s="84">
        <f>IFERROR(Res[[#This Row],[Column30]]/Res[[#This Row],[Column24]],0)</f>
        <v>0</v>
      </c>
      <c r="AH12" s="144">
        <f>IFERROR(Res[[#This Row],[Column24]]/Res[[#This Row],[Column19]],0)</f>
        <v>0</v>
      </c>
      <c r="AI12" s="85"/>
    </row>
    <row r="13" spans="1:35" ht="83.5" customHeight="1" thickBot="1" x14ac:dyDescent="0.25">
      <c r="A13" s="261"/>
      <c r="B13" s="281"/>
      <c r="C13" s="282"/>
      <c r="D13" s="283" t="s">
        <v>70</v>
      </c>
      <c r="E13" s="284"/>
      <c r="F13" s="285"/>
      <c r="G13" s="286"/>
      <c r="H13" s="287"/>
      <c r="I13" s="288">
        <f>SUBTOTAL(109,Res[Column7])</f>
        <v>0</v>
      </c>
      <c r="J13" s="289">
        <f>SUBTOTAL(109,Res[Column8])</f>
        <v>0</v>
      </c>
      <c r="K13" s="289">
        <f>SUBTOTAL(109,Res[Column9])</f>
        <v>0</v>
      </c>
      <c r="L13" s="290">
        <f>IFERROR(Res[[#Totals],[Column8]]/Res[[#Totals],[Column7]],0)</f>
        <v>0</v>
      </c>
      <c r="M13" s="288">
        <f>SUBTOTAL(109,Res[Column10])</f>
        <v>0</v>
      </c>
      <c r="N13" s="289">
        <f>SUBTOTAL(109,Res[Column11])</f>
        <v>0</v>
      </c>
      <c r="O13" s="289">
        <f>SUBTOTAL(109,Res[Column12])</f>
        <v>0</v>
      </c>
      <c r="P13" s="290">
        <f>IFERROR(Res[[#Totals],[Column11]]/Res[[#Totals],[Column10]],0)</f>
        <v>0</v>
      </c>
      <c r="Q13" s="290">
        <f>IFERROR(Res[[#Totals],[Column10]]/Res[[#Totals],[Column7]],0)</f>
        <v>0</v>
      </c>
      <c r="R13" s="288">
        <f>SUBTOTAL(109,Res[Column23])</f>
        <v>0</v>
      </c>
      <c r="S13" s="281">
        <f>SUBTOTAL(109,Res[Column27])</f>
        <v>0</v>
      </c>
      <c r="T13" s="281">
        <f>SUBTOTAL(109,Res[Column28])</f>
        <v>0</v>
      </c>
      <c r="U13" s="290">
        <f>IFERROR(Res[[#Totals],[Column27]]/Res[[#Totals],[Column23]],0)</f>
        <v>0</v>
      </c>
      <c r="V13" s="288">
        <f>SUBTOTAL(109,Res[Column15])</f>
        <v>0</v>
      </c>
      <c r="W13" s="281">
        <f>SUBTOTAL(109,Res[Column16])</f>
        <v>0</v>
      </c>
      <c r="X13" s="281">
        <f>SUBTOTAL(109,Res[Column17])</f>
        <v>0</v>
      </c>
      <c r="Y13" s="290">
        <f>IFERROR(Res[[#Totals],[Column16]]/Res[[#Totals],[Column15]],0)</f>
        <v>0</v>
      </c>
      <c r="Z13" s="291">
        <f>SUBTOTAL(109,Res[Column19])</f>
        <v>0</v>
      </c>
      <c r="AA13" s="292">
        <f>SUBTOTAL(109,Res[Column20])</f>
        <v>0</v>
      </c>
      <c r="AB13" s="292">
        <f>SUBTOTAL(109,Res[Column21])</f>
        <v>0</v>
      </c>
      <c r="AC13" s="290">
        <f>IFERROR(Res[[#Totals],[Column20]]/Res[[#Totals],[Column19]],0)</f>
        <v>0</v>
      </c>
      <c r="AD13" s="291">
        <f>SUBTOTAL(109,Res[Column24])</f>
        <v>0</v>
      </c>
      <c r="AE13" s="293">
        <f>SUBTOTAL(109,Res[Column30])</f>
        <v>0</v>
      </c>
      <c r="AF13" s="292">
        <f>SUBTOTAL(109,Res[Column29])</f>
        <v>0</v>
      </c>
      <c r="AG13" s="339">
        <f>IFERROR(Res[[#Totals],[Column30]]/Res[[#Totals],[Column24]],0)</f>
        <v>0</v>
      </c>
      <c r="AH13" s="340">
        <f>IFERROR(Res[[#Totals],[Column24]]/Res[[#Totals],[Column19]],0)</f>
        <v>0</v>
      </c>
      <c r="AI13" s="285"/>
    </row>
    <row r="14" spans="1:35" ht="18" thickBot="1" x14ac:dyDescent="0.25">
      <c r="A14" s="332" t="s">
        <v>122</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7"/>
    </row>
  </sheetData>
  <sheetProtection formatCells="0" formatRows="0" insertRows="0" deleteRows="0" sort="0" autoFilter="0" pivotTables="0"/>
  <mergeCells count="11">
    <mergeCell ref="AD7:AG7"/>
    <mergeCell ref="I7:L7"/>
    <mergeCell ref="R7:U7"/>
    <mergeCell ref="V7:Y7"/>
    <mergeCell ref="Z7:AC7"/>
    <mergeCell ref="H7:H8"/>
    <mergeCell ref="A7:A8"/>
    <mergeCell ref="B7:B8"/>
    <mergeCell ref="C7:C8"/>
    <mergeCell ref="D7:F7"/>
    <mergeCell ref="G7:G8"/>
  </mergeCells>
  <dataValidations count="3">
    <dataValidation allowBlank="1" showInputMessage="1" showErrorMessage="1" prompt="Please fill in the cell with text" sqref="B9:F12" xr:uid="{3A223C1C-74EE-4981-B1AB-29C3480E3690}"/>
    <dataValidation type="decimal" allowBlank="1" showInputMessage="1" showErrorMessage="1" errorTitle="NOTICE!" error="Please dont input any value, there's formula." prompt="Input only numbers" sqref="I9:J12 M9:N12 R9:S12 V9:W12 Z9:AA12 AD9:AE12" xr:uid="{AD50C22D-6778-4894-AC7B-3A3611FB8A02}">
      <formula1>0</formula1>
      <formula2>100000000000</formula2>
    </dataValidation>
    <dataValidation type="custom" allowBlank="1" showInputMessage="1" showErrorMessage="1" errorTitle="NOTICE!" error="Please don't input any value in this cell, there is formula" promptTitle="NOTICE!" prompt="Please don't input any value in this cell, there is formula" sqref="K9:L12 O9:Q12 T9:U12 X9:Y12 AB9:AC12 AF9:AG12" xr:uid="{1C82254B-DF07-4AC1-B518-2BD8F1D8E347}">
      <formula1>"Please don't input any value in this cell, there is formula"</formula1>
    </dataValidation>
  </dataValidations>
  <pageMargins left="0.7" right="0.7" top="0.75" bottom="0.75" header="0.3" footer="0.3"/>
  <pageSetup paperSize="9" orientation="portrait" verticalDpi="4294967295"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9FB36-171F-4FD4-8699-97C875915171}">
  <dimension ref="A1:AI14"/>
  <sheetViews>
    <sheetView view="pageBreakPreview" topLeftCell="F6" zoomScale="50" zoomScaleNormal="55" zoomScaleSheetLayoutView="50" workbookViewId="0">
      <selection activeCell="AD10" sqref="AD10"/>
    </sheetView>
  </sheetViews>
  <sheetFormatPr baseColWidth="10" defaultColWidth="8.6640625" defaultRowHeight="17" x14ac:dyDescent="0.2"/>
  <cols>
    <col min="1" max="1" width="13.5" style="2" customWidth="1"/>
    <col min="2" max="2" width="32.33203125" style="2" customWidth="1"/>
    <col min="3" max="3" width="33.5" style="2" customWidth="1"/>
    <col min="4" max="4" width="29.5" style="2" customWidth="1"/>
    <col min="5" max="6" width="27.33203125" style="2" customWidth="1"/>
    <col min="7" max="8" width="36.1640625" style="2" customWidth="1"/>
    <col min="9" max="12" width="17.5" style="2" customWidth="1"/>
    <col min="13" max="21" width="14.83203125" style="2" customWidth="1"/>
    <col min="22" max="22" width="20.33203125" style="2" customWidth="1"/>
    <col min="23" max="25" width="14.83203125" style="2" customWidth="1"/>
    <col min="26" max="28" width="15.1640625" style="2" customWidth="1"/>
    <col min="29" max="29" width="14.83203125" style="2" customWidth="1"/>
    <col min="30" max="30" width="33.5" style="2" customWidth="1"/>
    <col min="31" max="33" width="21" style="2" customWidth="1"/>
    <col min="34" max="34" width="27" style="2" customWidth="1"/>
    <col min="35" max="35" width="14.83203125" style="2" customWidth="1"/>
    <col min="36" max="16384" width="8.6640625" style="102"/>
  </cols>
  <sheetData>
    <row r="1" spans="1:35" ht="18" hidden="1" thickBot="1" x14ac:dyDescent="0.25">
      <c r="B1" s="3" t="s">
        <v>123</v>
      </c>
    </row>
    <row r="2" spans="1:35" hidden="1" x14ac:dyDescent="0.2">
      <c r="B2" s="26" t="s">
        <v>40</v>
      </c>
      <c r="C2" s="238">
        <f>'#1'!C2</f>
        <v>0</v>
      </c>
      <c r="D2" s="25" t="s">
        <v>41</v>
      </c>
      <c r="E2" s="239">
        <f>'#2'!E2</f>
        <v>0</v>
      </c>
      <c r="F2" s="105"/>
    </row>
    <row r="3" spans="1:35" hidden="1" x14ac:dyDescent="0.2">
      <c r="B3" s="106" t="s">
        <v>42</v>
      </c>
      <c r="C3" s="240">
        <f>'#1'!C3</f>
        <v>0</v>
      </c>
      <c r="D3" s="105" t="s">
        <v>43</v>
      </c>
      <c r="E3" s="241">
        <f>'#2'!E3</f>
        <v>0</v>
      </c>
      <c r="F3" s="105"/>
    </row>
    <row r="4" spans="1:35" ht="35" hidden="1" thickBot="1" x14ac:dyDescent="0.25">
      <c r="B4" s="13" t="s">
        <v>44</v>
      </c>
      <c r="C4" s="108">
        <f>'#1'!C4</f>
        <v>0</v>
      </c>
      <c r="D4" s="109" t="s">
        <v>45</v>
      </c>
      <c r="E4" s="242">
        <f>'#2'!E4</f>
        <v>0</v>
      </c>
      <c r="F4" s="15"/>
    </row>
    <row r="5" spans="1:35" ht="18" hidden="1" thickBot="1" x14ac:dyDescent="0.25"/>
    <row r="6" spans="1:35" s="2" customFormat="1" ht="83.5" customHeight="1" thickBot="1" x14ac:dyDescent="0.25">
      <c r="A6" s="525" t="s">
        <v>131</v>
      </c>
      <c r="B6" s="522"/>
      <c r="C6" s="522"/>
      <c r="D6" s="522"/>
      <c r="E6" s="522"/>
      <c r="F6" s="522"/>
      <c r="G6" s="522"/>
      <c r="H6" s="522"/>
      <c r="I6" s="522"/>
      <c r="J6" s="522"/>
      <c r="K6" s="522"/>
      <c r="L6" s="522"/>
      <c r="M6" s="522"/>
      <c r="N6" s="522"/>
      <c r="O6" s="522"/>
      <c r="P6" s="522"/>
      <c r="Q6" s="522"/>
      <c r="R6" s="522"/>
      <c r="S6" s="522"/>
      <c r="T6" s="522"/>
      <c r="U6" s="522"/>
      <c r="V6" s="522"/>
      <c r="W6" s="522"/>
      <c r="X6" s="522"/>
      <c r="Y6" s="522"/>
      <c r="Z6" s="522"/>
      <c r="AA6" s="522"/>
      <c r="AB6" s="522"/>
      <c r="AC6" s="522"/>
      <c r="AD6" s="522"/>
      <c r="AE6" s="522"/>
      <c r="AF6" s="522"/>
      <c r="AG6" s="522"/>
      <c r="AH6" s="522"/>
      <c r="AI6" s="523"/>
    </row>
    <row r="7" spans="1:35" s="2" customFormat="1" ht="83.5" customHeight="1" thickBot="1" x14ac:dyDescent="0.25">
      <c r="A7" s="623" t="s">
        <v>50</v>
      </c>
      <c r="B7" s="625" t="s">
        <v>116</v>
      </c>
      <c r="C7" s="627" t="s">
        <v>52</v>
      </c>
      <c r="D7" s="629" t="s">
        <v>53</v>
      </c>
      <c r="E7" s="630"/>
      <c r="F7" s="631"/>
      <c r="G7" s="632" t="s">
        <v>80</v>
      </c>
      <c r="H7" s="664" t="s">
        <v>81</v>
      </c>
      <c r="I7" s="668" t="s">
        <v>129</v>
      </c>
      <c r="J7" s="666"/>
      <c r="K7" s="666"/>
      <c r="L7" s="667"/>
      <c r="M7" s="511" t="s">
        <v>108</v>
      </c>
      <c r="N7" s="512"/>
      <c r="O7" s="512"/>
      <c r="P7" s="513"/>
      <c r="Q7" s="314" t="s">
        <v>150</v>
      </c>
      <c r="R7" s="668" t="s">
        <v>109</v>
      </c>
      <c r="S7" s="666"/>
      <c r="T7" s="666"/>
      <c r="U7" s="667"/>
      <c r="V7" s="629" t="s">
        <v>110</v>
      </c>
      <c r="W7" s="630"/>
      <c r="X7" s="630"/>
      <c r="Y7" s="631"/>
      <c r="Z7" s="636" t="s">
        <v>57</v>
      </c>
      <c r="AA7" s="637"/>
      <c r="AB7" s="637"/>
      <c r="AC7" s="638"/>
      <c r="AD7" s="661" t="s">
        <v>119</v>
      </c>
      <c r="AE7" s="662"/>
      <c r="AF7" s="662"/>
      <c r="AG7" s="663"/>
      <c r="AH7" s="314" t="s">
        <v>151</v>
      </c>
      <c r="AI7" s="315" t="s">
        <v>120</v>
      </c>
    </row>
    <row r="8" spans="1:35" s="2" customFormat="1" ht="83.5" customHeight="1" thickBot="1" x14ac:dyDescent="0.25">
      <c r="A8" s="624"/>
      <c r="B8" s="626"/>
      <c r="C8" s="628"/>
      <c r="D8" s="201" t="s">
        <v>59</v>
      </c>
      <c r="E8" s="202" t="s">
        <v>86</v>
      </c>
      <c r="F8" s="203" t="s">
        <v>87</v>
      </c>
      <c r="G8" s="633"/>
      <c r="H8" s="665"/>
      <c r="I8" s="199" t="s">
        <v>64</v>
      </c>
      <c r="J8" s="204" t="s">
        <v>88</v>
      </c>
      <c r="K8" s="204" t="s">
        <v>89</v>
      </c>
      <c r="L8" s="200" t="s">
        <v>47</v>
      </c>
      <c r="M8" s="199" t="s">
        <v>64</v>
      </c>
      <c r="N8" s="204" t="s">
        <v>88</v>
      </c>
      <c r="O8" s="204" t="s">
        <v>89</v>
      </c>
      <c r="P8" s="200" t="s">
        <v>47</v>
      </c>
      <c r="Q8" s="503" t="s">
        <v>96</v>
      </c>
      <c r="R8" s="199" t="s">
        <v>64</v>
      </c>
      <c r="S8" s="204" t="s">
        <v>88</v>
      </c>
      <c r="T8" s="204" t="s">
        <v>89</v>
      </c>
      <c r="U8" s="200" t="s">
        <v>47</v>
      </c>
      <c r="V8" s="199" t="s">
        <v>64</v>
      </c>
      <c r="W8" s="204" t="s">
        <v>88</v>
      </c>
      <c r="X8" s="204" t="s">
        <v>89</v>
      </c>
      <c r="Y8" s="200" t="s">
        <v>47</v>
      </c>
      <c r="Z8" s="199" t="s">
        <v>90</v>
      </c>
      <c r="AA8" s="204" t="s">
        <v>91</v>
      </c>
      <c r="AB8" s="204" t="s">
        <v>92</v>
      </c>
      <c r="AC8" s="200" t="s">
        <v>47</v>
      </c>
      <c r="AD8" s="199" t="s">
        <v>90</v>
      </c>
      <c r="AE8" s="205" t="s">
        <v>93</v>
      </c>
      <c r="AF8" s="204" t="s">
        <v>94</v>
      </c>
      <c r="AG8" s="204" t="s">
        <v>95</v>
      </c>
      <c r="AH8" s="204" t="s">
        <v>96</v>
      </c>
      <c r="AI8" s="200" t="s">
        <v>97</v>
      </c>
    </row>
    <row r="9" spans="1:35" ht="83.5" customHeight="1" x14ac:dyDescent="0.2">
      <c r="A9" s="4">
        <v>1</v>
      </c>
      <c r="B9" s="62"/>
      <c r="C9" s="111" t="s">
        <v>121</v>
      </c>
      <c r="D9" s="111"/>
      <c r="E9" s="111"/>
      <c r="F9" s="111"/>
      <c r="G9" s="112"/>
      <c r="H9" s="113"/>
      <c r="I9" s="317">
        <v>0</v>
      </c>
      <c r="J9" s="10">
        <v>0</v>
      </c>
      <c r="K9" s="318">
        <f>Exp[[#This Row],[Column7]]-Exp[[#This Row],[Column8]]</f>
        <v>0</v>
      </c>
      <c r="L9" s="319">
        <f>IFERROR(Exp[[#This Row],[Column8]]/Exp[[#This Row],[Column7]],0)</f>
        <v>0</v>
      </c>
      <c r="M9" s="317">
        <v>0</v>
      </c>
      <c r="N9" s="10">
        <v>0</v>
      </c>
      <c r="O9" s="318">
        <f>Exp[[#This Row],[Column10]]-Exp[[#This Row],[Column11]]</f>
        <v>0</v>
      </c>
      <c r="P9" s="319">
        <f>IFERROR(N9/M9,0)</f>
        <v>0</v>
      </c>
      <c r="Q9" s="319">
        <f>IFERROR(Exp[[#This Row],[Column10]]/Exp[[#This Row],[Column7]],0)</f>
        <v>0</v>
      </c>
      <c r="R9" s="317">
        <v>0</v>
      </c>
      <c r="S9" s="10">
        <v>0</v>
      </c>
      <c r="T9" s="318">
        <f>Exp[[#This Row],[Column23]]-Exp[[#This Row],[Column27]]</f>
        <v>0</v>
      </c>
      <c r="U9" s="319">
        <f>IFERROR(Exp[[#This Row],[Column27]]/Exp[[#This Row],[Column23]],0)</f>
        <v>0</v>
      </c>
      <c r="V9" s="317">
        <v>0</v>
      </c>
      <c r="W9" s="10">
        <v>0</v>
      </c>
      <c r="X9" s="318">
        <f>Exp[[#This Row],[Column15]]-Exp[[#This Row],[Column16]]</f>
        <v>0</v>
      </c>
      <c r="Y9" s="319">
        <f>IFERROR(W9/V9,0)</f>
        <v>0</v>
      </c>
      <c r="Z9" s="320">
        <v>0</v>
      </c>
      <c r="AA9" s="34">
        <v>0</v>
      </c>
      <c r="AB9" s="321">
        <f>Exp[[#This Row],[Column19]]-Exp[[#This Row],[Column20]]</f>
        <v>0</v>
      </c>
      <c r="AC9" s="322">
        <f>IFERROR(AA9/Z9,0)</f>
        <v>0</v>
      </c>
      <c r="AD9" s="323">
        <v>0</v>
      </c>
      <c r="AE9" s="324">
        <v>0</v>
      </c>
      <c r="AF9" s="321">
        <f>Exp[[#This Row],[Column24]]-Exp[[#This Row],[Column30]]</f>
        <v>0</v>
      </c>
      <c r="AG9" s="322">
        <f>IFERROR(Exp[[#This Row],[Column30]]/Exp[[#This Row],[Column24]],0)</f>
        <v>0</v>
      </c>
      <c r="AH9" s="35">
        <f>IFERROR(Exp[[#This Row],[Column24]]/Exp[[#This Row],[Column19]],0)</f>
        <v>0</v>
      </c>
      <c r="AI9" s="325"/>
    </row>
    <row r="10" spans="1:35" ht="83.5" customHeight="1" x14ac:dyDescent="0.2">
      <c r="A10" s="4">
        <v>2</v>
      </c>
      <c r="B10" s="62"/>
      <c r="C10" s="111" t="s">
        <v>121</v>
      </c>
      <c r="D10" s="111"/>
      <c r="E10" s="111"/>
      <c r="F10" s="111"/>
      <c r="G10" s="126"/>
      <c r="H10" s="127"/>
      <c r="I10" s="118">
        <v>0</v>
      </c>
      <c r="J10" s="119">
        <v>0</v>
      </c>
      <c r="K10" s="120">
        <f>Exp[[#This Row],[Column7]]-Exp[[#This Row],[Column8]]</f>
        <v>0</v>
      </c>
      <c r="L10" s="81">
        <f>IFERROR(Exp[[#This Row],[Column8]]/Exp[[#This Row],[Column7]],0)</f>
        <v>0</v>
      </c>
      <c r="M10" s="118">
        <v>0</v>
      </c>
      <c r="N10" s="119">
        <v>0</v>
      </c>
      <c r="O10" s="120">
        <f>Exp[[#This Row],[Column10]]-Exp[[#This Row],[Column11]]</f>
        <v>0</v>
      </c>
      <c r="P10" s="81">
        <f t="shared" ref="P10:P12" si="0">IFERROR(N10/M10,0)</f>
        <v>0</v>
      </c>
      <c r="Q10" s="81">
        <f>IFERROR(Exp[[#This Row],[Column10]]/Exp[[#This Row],[Column7]],0)</f>
        <v>0</v>
      </c>
      <c r="R10" s="118">
        <v>0</v>
      </c>
      <c r="S10" s="119">
        <v>0</v>
      </c>
      <c r="T10" s="120">
        <f>Exp[[#This Row],[Column23]]-Exp[[#This Row],[Column27]]</f>
        <v>0</v>
      </c>
      <c r="U10" s="81">
        <f>IFERROR(Exp[[#This Row],[Column27]]/Exp[[#This Row],[Column23]],0)</f>
        <v>0</v>
      </c>
      <c r="V10" s="118">
        <v>0</v>
      </c>
      <c r="W10" s="119">
        <v>0</v>
      </c>
      <c r="X10" s="120">
        <f>Exp[[#This Row],[Column15]]-Exp[[#This Row],[Column16]]</f>
        <v>0</v>
      </c>
      <c r="Y10" s="81">
        <f>IFERROR(W12/V12,0)</f>
        <v>0</v>
      </c>
      <c r="Z10" s="121">
        <v>0</v>
      </c>
      <c r="AA10" s="122">
        <v>0</v>
      </c>
      <c r="AB10" s="123">
        <f>Exp[[#This Row],[Column19]]-Exp[[#This Row],[Column20]]</f>
        <v>0</v>
      </c>
      <c r="AC10" s="82">
        <f t="shared" ref="AC10:AC12" si="1">IFERROR(AA10/Z10,0)</f>
        <v>0</v>
      </c>
      <c r="AD10" s="124">
        <v>0</v>
      </c>
      <c r="AE10" s="125">
        <v>0</v>
      </c>
      <c r="AF10" s="123">
        <f>Exp[[#This Row],[Column24]]-Exp[[#This Row],[Column30]]</f>
        <v>0</v>
      </c>
      <c r="AG10" s="82">
        <f>IFERROR(Exp[[#This Row],[Column30]]/Exp[[#This Row],[Column24]],0)</f>
        <v>0</v>
      </c>
      <c r="AH10" s="6">
        <f>IFERROR(Exp[[#This Row],[Column24]]/Exp[[#This Row],[Column19]],0)</f>
        <v>0</v>
      </c>
      <c r="AI10" s="130"/>
    </row>
    <row r="11" spans="1:35" ht="83.5" customHeight="1" x14ac:dyDescent="0.2">
      <c r="A11" s="4">
        <v>3</v>
      </c>
      <c r="B11" s="62"/>
      <c r="C11" s="111" t="s">
        <v>121</v>
      </c>
      <c r="D11" s="111"/>
      <c r="E11" s="111"/>
      <c r="F11" s="111"/>
      <c r="G11" s="126"/>
      <c r="H11" s="127"/>
      <c r="I11" s="118">
        <v>0</v>
      </c>
      <c r="J11" s="119">
        <v>0</v>
      </c>
      <c r="K11" s="120">
        <f>Exp[[#This Row],[Column7]]-Exp[[#This Row],[Column8]]</f>
        <v>0</v>
      </c>
      <c r="L11" s="81">
        <f>IFERROR(Exp[[#This Row],[Column8]]/Exp[[#This Row],[Column7]],0)</f>
        <v>0</v>
      </c>
      <c r="M11" s="118">
        <v>0</v>
      </c>
      <c r="N11" s="119">
        <v>0</v>
      </c>
      <c r="O11" s="120">
        <f>Exp[[#This Row],[Column10]]-Exp[[#This Row],[Column11]]</f>
        <v>0</v>
      </c>
      <c r="P11" s="81">
        <f t="shared" si="0"/>
        <v>0</v>
      </c>
      <c r="Q11" s="81">
        <f>IFERROR(Exp[[#This Row],[Column10]]/Exp[[#This Row],[Column7]],0)</f>
        <v>0</v>
      </c>
      <c r="R11" s="118">
        <v>0</v>
      </c>
      <c r="S11" s="119">
        <v>0</v>
      </c>
      <c r="T11" s="120">
        <f>Exp[[#This Row],[Column23]]-Exp[[#This Row],[Column27]]</f>
        <v>0</v>
      </c>
      <c r="U11" s="81">
        <f>IFERROR(Exp[[#This Row],[Column27]]/Exp[[#This Row],[Column23]],0)</f>
        <v>0</v>
      </c>
      <c r="V11" s="118">
        <v>0</v>
      </c>
      <c r="W11" s="119">
        <v>0</v>
      </c>
      <c r="X11" s="120">
        <f>Exp[[#This Row],[Column15]]-Exp[[#This Row],[Column16]]</f>
        <v>0</v>
      </c>
      <c r="Y11" s="81">
        <f>IFERROR(W11/V11,0)</f>
        <v>0</v>
      </c>
      <c r="Z11" s="121">
        <v>0</v>
      </c>
      <c r="AA11" s="122">
        <v>0</v>
      </c>
      <c r="AB11" s="123">
        <f>Exp[[#This Row],[Column19]]-Exp[[#This Row],[Column20]]</f>
        <v>0</v>
      </c>
      <c r="AC11" s="82">
        <f t="shared" si="1"/>
        <v>0</v>
      </c>
      <c r="AD11" s="124">
        <v>0</v>
      </c>
      <c r="AE11" s="125">
        <v>0</v>
      </c>
      <c r="AF11" s="123">
        <f>Exp[[#This Row],[Column24]]-Exp[[#This Row],[Column30]]</f>
        <v>0</v>
      </c>
      <c r="AG11" s="82">
        <f>IFERROR(Exp[[#This Row],[Column30]]/Exp[[#This Row],[Column24]],0)</f>
        <v>0</v>
      </c>
      <c r="AH11" s="6">
        <f>IFERROR(Exp[[#This Row],[Column24]]/Exp[[#This Row],[Column19]],0)</f>
        <v>0</v>
      </c>
      <c r="AI11" s="36"/>
    </row>
    <row r="12" spans="1:35" ht="73" thickBot="1" x14ac:dyDescent="0.25">
      <c r="A12" s="4">
        <v>4</v>
      </c>
      <c r="B12" s="62"/>
      <c r="C12" s="111" t="s">
        <v>121</v>
      </c>
      <c r="D12" s="111"/>
      <c r="E12" s="111"/>
      <c r="F12" s="111"/>
      <c r="G12" s="131"/>
      <c r="H12" s="132"/>
      <c r="I12" s="137">
        <v>0</v>
      </c>
      <c r="J12" s="75">
        <v>0</v>
      </c>
      <c r="K12" s="138">
        <f>Exp[[#This Row],[Column7]]-Exp[[#This Row],[Column8]]</f>
        <v>0</v>
      </c>
      <c r="L12" s="83">
        <f>IFERROR(Exp[[#This Row],[Column8]]/Exp[[#This Row],[Column7]],0)</f>
        <v>0</v>
      </c>
      <c r="M12" s="137">
        <v>0</v>
      </c>
      <c r="N12" s="75">
        <v>0</v>
      </c>
      <c r="O12" s="138">
        <f>Exp[[#This Row],[Column10]]-Exp[[#This Row],[Column11]]</f>
        <v>0</v>
      </c>
      <c r="P12" s="83">
        <f t="shared" si="0"/>
        <v>0</v>
      </c>
      <c r="Q12" s="83">
        <f>IFERROR(Exp[[#This Row],[Column10]]/Exp[[#This Row],[Column7]],0)</f>
        <v>0</v>
      </c>
      <c r="R12" s="137">
        <v>0</v>
      </c>
      <c r="S12" s="75">
        <v>0</v>
      </c>
      <c r="T12" s="138">
        <f>Exp[[#This Row],[Column23]]-Exp[[#This Row],[Column27]]</f>
        <v>0</v>
      </c>
      <c r="U12" s="83">
        <f>IFERROR(Exp[[#This Row],[Column27]]/Exp[[#This Row],[Column23]],0)</f>
        <v>0</v>
      </c>
      <c r="V12" s="137">
        <v>0</v>
      </c>
      <c r="W12" s="75">
        <v>0</v>
      </c>
      <c r="X12" s="138">
        <f>Exp[[#This Row],[Column15]]-Exp[[#This Row],[Column16]]</f>
        <v>0</v>
      </c>
      <c r="Y12" s="83">
        <f>IFERROR(W12/V12,0)</f>
        <v>0</v>
      </c>
      <c r="Z12" s="139">
        <v>0</v>
      </c>
      <c r="AA12" s="140">
        <v>0</v>
      </c>
      <c r="AB12" s="141">
        <f>Exp[[#This Row],[Column19]]-Exp[[#This Row],[Column20]]</f>
        <v>0</v>
      </c>
      <c r="AC12" s="84">
        <f t="shared" si="1"/>
        <v>0</v>
      </c>
      <c r="AD12" s="142">
        <v>0</v>
      </c>
      <c r="AE12" s="143">
        <v>0</v>
      </c>
      <c r="AF12" s="141">
        <f>Exp[[#This Row],[Column24]]-Exp[[#This Row],[Column30]]</f>
        <v>0</v>
      </c>
      <c r="AG12" s="84">
        <f>IFERROR(Exp[[#This Row],[Column30]]/Exp[[#This Row],[Column24]],0)</f>
        <v>0</v>
      </c>
      <c r="AH12" s="144">
        <f>IFERROR(Exp[[#This Row],[Column24]]/Exp[[#This Row],[Column19]],0)</f>
        <v>0</v>
      </c>
      <c r="AI12" s="85"/>
    </row>
    <row r="13" spans="1:35" ht="83.5" customHeight="1" thickBot="1" x14ac:dyDescent="0.25">
      <c r="A13" s="261"/>
      <c r="B13" s="281"/>
      <c r="C13" s="282"/>
      <c r="D13" s="283" t="s">
        <v>70</v>
      </c>
      <c r="E13" s="284"/>
      <c r="F13" s="285"/>
      <c r="G13" s="286"/>
      <c r="H13" s="287"/>
      <c r="I13" s="288">
        <f>SUBTOTAL(109,Exp[Column7])</f>
        <v>0</v>
      </c>
      <c r="J13" s="289">
        <f>SUBTOTAL(109,Exp[Column8])</f>
        <v>0</v>
      </c>
      <c r="K13" s="289">
        <f>SUBTOTAL(109,Exp[Column9])</f>
        <v>0</v>
      </c>
      <c r="L13" s="290">
        <f>IFERROR(Exp[[#Totals],[Column8]]/Exp[[#Totals],[Column7]],0)</f>
        <v>0</v>
      </c>
      <c r="M13" s="288">
        <f>SUBTOTAL(109,Exp[Column10])</f>
        <v>0</v>
      </c>
      <c r="N13" s="289">
        <f>SUBTOTAL(109,Exp[Column11])</f>
        <v>0</v>
      </c>
      <c r="O13" s="289">
        <f>SUBTOTAL(109,Exp[Column12])</f>
        <v>0</v>
      </c>
      <c r="P13" s="290">
        <f>Exp[[#Totals],[Column27]]+Exp[[#Totals],[Column28]]</f>
        <v>0</v>
      </c>
      <c r="Q13" s="290">
        <f>IFERROR(Exp[[#Totals],[Column10]]/Exp[[#Totals],[Column7]],0)</f>
        <v>0</v>
      </c>
      <c r="R13" s="288">
        <f>SUBTOTAL(109,Exp[Column23])</f>
        <v>0</v>
      </c>
      <c r="S13" s="281">
        <f>SUBTOTAL(109,Exp[Column27])</f>
        <v>0</v>
      </c>
      <c r="T13" s="281">
        <f>SUBTOTAL(109,Exp[Column28])</f>
        <v>0</v>
      </c>
      <c r="U13" s="290">
        <f>IFERROR(Exp[[#Totals],[Column27]]/Exp[[#Totals],[Column23]],0)</f>
        <v>0</v>
      </c>
      <c r="V13" s="288">
        <f>SUBTOTAL(109,Exp[Column15])</f>
        <v>0</v>
      </c>
      <c r="W13" s="281">
        <f>SUBTOTAL(109,Exp[Column16])</f>
        <v>0</v>
      </c>
      <c r="X13" s="281">
        <f>SUBTOTAL(109,Exp[Column17])</f>
        <v>0</v>
      </c>
      <c r="Y13" s="290">
        <f>IFERROR(Exp[[#Totals],[Column16]]/Exp[[#Totals],[Column15]],0)</f>
        <v>0</v>
      </c>
      <c r="Z13" s="291">
        <f>SUBTOTAL(109,Exp[Column19])</f>
        <v>0</v>
      </c>
      <c r="AA13" s="292">
        <f>SUBTOTAL(109,Exp[Column20])</f>
        <v>0</v>
      </c>
      <c r="AB13" s="292">
        <f>SUBTOTAL(109,Exp[Column21])</f>
        <v>0</v>
      </c>
      <c r="AC13" s="290">
        <f>IFERROR(Exp[[#Totals],[Column20]]/Exp[[#Totals],[Column19]],0)</f>
        <v>0</v>
      </c>
      <c r="AD13" s="291">
        <f>SUBTOTAL(109,Exp[Column24])</f>
        <v>0</v>
      </c>
      <c r="AE13" s="293">
        <f>SUBTOTAL(109,Exp[Column30])</f>
        <v>0</v>
      </c>
      <c r="AF13" s="292">
        <f>SUBTOTAL(109,Exp[Column29])</f>
        <v>0</v>
      </c>
      <c r="AG13" s="339">
        <f>IFERROR(Exp[[#Totals],[Column30]]/Exp[[#Totals],[Column24]],0)</f>
        <v>0</v>
      </c>
      <c r="AH13" s="340">
        <f>IFERROR(Exp[[#Totals],[Column24]]/Exp[[#Totals],[Column19]],0)</f>
        <v>0</v>
      </c>
      <c r="AI13" s="285"/>
    </row>
    <row r="14" spans="1:35" ht="18" thickBot="1" x14ac:dyDescent="0.25">
      <c r="A14" s="332" t="s">
        <v>122</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7"/>
    </row>
  </sheetData>
  <sheetProtection formatCells="0" formatRows="0" insertRows="0" deleteRows="0" sort="0" autoFilter="0" pivotTables="0"/>
  <mergeCells count="11">
    <mergeCell ref="AD7:AG7"/>
    <mergeCell ref="I7:L7"/>
    <mergeCell ref="R7:U7"/>
    <mergeCell ref="V7:Y7"/>
    <mergeCell ref="Z7:AC7"/>
    <mergeCell ref="H7:H8"/>
    <mergeCell ref="A7:A8"/>
    <mergeCell ref="B7:B8"/>
    <mergeCell ref="C7:C8"/>
    <mergeCell ref="D7:F7"/>
    <mergeCell ref="G7:G8"/>
  </mergeCells>
  <dataValidations count="3">
    <dataValidation allowBlank="1" showInputMessage="1" showErrorMessage="1" prompt="Please fill in the cell with text" sqref="B9:F12" xr:uid="{10DAFA23-FD0E-4E3B-A9E4-02DE0581A55B}"/>
    <dataValidation type="decimal" allowBlank="1" showInputMessage="1" showErrorMessage="1" prompt="Input only numbers" sqref="I9:J12 M9:N12 R9:S12 V9:W12 Z9:AA12 AD9:AE12" xr:uid="{2F5D38B6-DC4C-4801-A941-F217AEEDBA2A}">
      <formula1>0</formula1>
      <formula2>10000000000</formula2>
    </dataValidation>
    <dataValidation type="custom" allowBlank="1" showInputMessage="1" showErrorMessage="1" errorTitle="NOTICE!" error="Please don't input any value in this cell, there is formula" promptTitle="NOTICE!" prompt="Please don't input any value in this cell, there is formula " sqref="K9:L12 O9:Q12 T9:U12 X9:Y12 AB9:AC12 AF9:AG12" xr:uid="{70BE509E-97CD-4524-A5DB-C927A7B922A9}">
      <formula1>"Please don't input any value in this cell, there is formula"</formula1>
    </dataValidation>
  </dataValidations>
  <pageMargins left="0.7" right="0.7" top="0.75" bottom="0.75" header="0.3" footer="0.3"/>
  <pageSetup paperSize="9" orientation="portrait" verticalDpi="4294967295"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86235-C681-4CF9-B72C-85F5FB29A02A}">
  <dimension ref="A1:AI14"/>
  <sheetViews>
    <sheetView view="pageBreakPreview" topLeftCell="A6" zoomScale="41" zoomScaleNormal="55" zoomScaleSheetLayoutView="41" workbookViewId="0">
      <selection activeCell="Y28" sqref="Y28"/>
    </sheetView>
  </sheetViews>
  <sheetFormatPr baseColWidth="10" defaultColWidth="8.6640625" defaultRowHeight="17" x14ac:dyDescent="0.2"/>
  <cols>
    <col min="1" max="1" width="13.5" style="2" customWidth="1"/>
    <col min="2" max="2" width="32.33203125" style="2" customWidth="1"/>
    <col min="3" max="3" width="33.5" style="2" customWidth="1"/>
    <col min="4" max="4" width="29.5" style="2" customWidth="1"/>
    <col min="5" max="6" width="27.33203125" style="2" customWidth="1"/>
    <col min="7" max="8" width="36.1640625" style="2" customWidth="1"/>
    <col min="9" max="12" width="12.1640625" style="2" customWidth="1"/>
    <col min="13" max="21" width="14.83203125" style="2" customWidth="1"/>
    <col min="22" max="22" width="9.5" style="2" bestFit="1" customWidth="1"/>
    <col min="23" max="23" width="20.33203125" style="2" customWidth="1"/>
    <col min="24" max="26" width="14.83203125" style="2" customWidth="1"/>
    <col min="27" max="29" width="15.1640625" style="2" customWidth="1"/>
    <col min="30" max="30" width="14.83203125" style="2" customWidth="1"/>
    <col min="31" max="31" width="33.5" style="2" customWidth="1"/>
    <col min="32" max="34" width="21" style="2" customWidth="1"/>
    <col min="35" max="35" width="27" style="2" customWidth="1"/>
    <col min="36" max="16384" width="8.6640625" style="102"/>
  </cols>
  <sheetData>
    <row r="1" spans="1:35" ht="18" hidden="1" thickBot="1" x14ac:dyDescent="0.25">
      <c r="B1" s="3" t="s">
        <v>123</v>
      </c>
    </row>
    <row r="2" spans="1:35" hidden="1" x14ac:dyDescent="0.2">
      <c r="B2" s="26" t="s">
        <v>40</v>
      </c>
      <c r="C2" s="238">
        <f>'#1'!C2</f>
        <v>0</v>
      </c>
      <c r="D2" s="25" t="s">
        <v>41</v>
      </c>
      <c r="E2" s="239">
        <f>'#2'!E2</f>
        <v>0</v>
      </c>
      <c r="F2" s="105"/>
    </row>
    <row r="3" spans="1:35" hidden="1" x14ac:dyDescent="0.2">
      <c r="B3" s="106" t="s">
        <v>42</v>
      </c>
      <c r="C3" s="240">
        <f>'#1'!C3</f>
        <v>0</v>
      </c>
      <c r="D3" s="105" t="s">
        <v>43</v>
      </c>
      <c r="E3" s="241">
        <f>'#2'!E3</f>
        <v>0</v>
      </c>
      <c r="F3" s="105"/>
    </row>
    <row r="4" spans="1:35" ht="35" hidden="1" thickBot="1" x14ac:dyDescent="0.25">
      <c r="B4" s="13" t="s">
        <v>44</v>
      </c>
      <c r="C4" s="108">
        <f>'#1'!C4</f>
        <v>0</v>
      </c>
      <c r="D4" s="109" t="s">
        <v>45</v>
      </c>
      <c r="E4" s="242">
        <f>'#2'!E4</f>
        <v>0</v>
      </c>
      <c r="F4" s="15"/>
    </row>
    <row r="5" spans="1:35" ht="18" hidden="1" thickBot="1" x14ac:dyDescent="0.25"/>
    <row r="6" spans="1:35" s="2" customFormat="1" ht="83.5" customHeight="1" thickBot="1" x14ac:dyDescent="0.25">
      <c r="A6" s="525" t="s">
        <v>132</v>
      </c>
      <c r="B6" s="522"/>
      <c r="C6" s="522"/>
      <c r="D6" s="522"/>
      <c r="E6" s="522"/>
      <c r="F6" s="522"/>
      <c r="G6" s="522"/>
      <c r="H6" s="522"/>
      <c r="I6" s="522"/>
      <c r="J6" s="522"/>
      <c r="K6" s="522"/>
      <c r="L6" s="522"/>
      <c r="M6" s="522"/>
      <c r="N6" s="522"/>
      <c r="O6" s="522"/>
      <c r="P6" s="522"/>
      <c r="Q6" s="522"/>
      <c r="R6" s="522"/>
      <c r="S6" s="522"/>
      <c r="T6" s="522"/>
      <c r="U6" s="522"/>
      <c r="V6" s="522"/>
      <c r="W6" s="522"/>
      <c r="X6" s="522"/>
      <c r="Y6" s="522"/>
      <c r="Z6" s="522"/>
      <c r="AA6" s="522"/>
      <c r="AB6" s="522"/>
      <c r="AC6" s="522"/>
      <c r="AD6" s="522"/>
      <c r="AE6" s="522"/>
      <c r="AF6" s="522"/>
      <c r="AG6" s="522"/>
      <c r="AH6" s="522"/>
      <c r="AI6" s="523"/>
    </row>
    <row r="7" spans="1:35" s="2" customFormat="1" ht="83.5" customHeight="1" thickBot="1" x14ac:dyDescent="0.25">
      <c r="A7" s="623" t="s">
        <v>50</v>
      </c>
      <c r="B7" s="625" t="s">
        <v>116</v>
      </c>
      <c r="C7" s="627" t="s">
        <v>52</v>
      </c>
      <c r="D7" s="629" t="s">
        <v>53</v>
      </c>
      <c r="E7" s="630"/>
      <c r="F7" s="631"/>
      <c r="G7" s="632" t="s">
        <v>80</v>
      </c>
      <c r="H7" s="664" t="s">
        <v>81</v>
      </c>
      <c r="I7" s="668" t="s">
        <v>129</v>
      </c>
      <c r="J7" s="666"/>
      <c r="K7" s="666"/>
      <c r="L7" s="667"/>
      <c r="M7" s="511" t="s">
        <v>108</v>
      </c>
      <c r="N7" s="512"/>
      <c r="O7" s="512"/>
      <c r="P7" s="513"/>
      <c r="Q7" s="314" t="s">
        <v>150</v>
      </c>
      <c r="R7" s="668" t="s">
        <v>109</v>
      </c>
      <c r="S7" s="666"/>
      <c r="T7" s="666"/>
      <c r="U7" s="667"/>
      <c r="V7" s="629" t="s">
        <v>110</v>
      </c>
      <c r="W7" s="630"/>
      <c r="X7" s="630"/>
      <c r="Y7" s="631"/>
      <c r="Z7" s="636" t="s">
        <v>57</v>
      </c>
      <c r="AA7" s="637"/>
      <c r="AB7" s="637"/>
      <c r="AC7" s="638"/>
      <c r="AD7" s="661" t="s">
        <v>119</v>
      </c>
      <c r="AE7" s="662"/>
      <c r="AF7" s="662"/>
      <c r="AG7" s="663"/>
      <c r="AH7" s="314" t="s">
        <v>153</v>
      </c>
      <c r="AI7" s="315" t="s">
        <v>120</v>
      </c>
    </row>
    <row r="8" spans="1:35" s="2" customFormat="1" ht="83.5" customHeight="1" thickBot="1" x14ac:dyDescent="0.25">
      <c r="A8" s="624"/>
      <c r="B8" s="626"/>
      <c r="C8" s="628"/>
      <c r="D8" s="201" t="s">
        <v>59</v>
      </c>
      <c r="E8" s="202" t="s">
        <v>86</v>
      </c>
      <c r="F8" s="203" t="s">
        <v>87</v>
      </c>
      <c r="G8" s="633"/>
      <c r="H8" s="665"/>
      <c r="I8" s="199" t="s">
        <v>64</v>
      </c>
      <c r="J8" s="204" t="s">
        <v>88</v>
      </c>
      <c r="K8" s="204" t="s">
        <v>89</v>
      </c>
      <c r="L8" s="200" t="s">
        <v>47</v>
      </c>
      <c r="M8" s="199" t="s">
        <v>64</v>
      </c>
      <c r="N8" s="204" t="s">
        <v>88</v>
      </c>
      <c r="O8" s="204" t="s">
        <v>89</v>
      </c>
      <c r="P8" s="200" t="s">
        <v>47</v>
      </c>
      <c r="Q8" s="503" t="s">
        <v>96</v>
      </c>
      <c r="R8" s="199" t="s">
        <v>64</v>
      </c>
      <c r="S8" s="204" t="s">
        <v>88</v>
      </c>
      <c r="T8" s="204" t="s">
        <v>89</v>
      </c>
      <c r="U8" s="200" t="s">
        <v>47</v>
      </c>
      <c r="V8" s="199" t="s">
        <v>64</v>
      </c>
      <c r="W8" s="204" t="s">
        <v>88</v>
      </c>
      <c r="X8" s="204" t="s">
        <v>89</v>
      </c>
      <c r="Y8" s="200" t="s">
        <v>47</v>
      </c>
      <c r="Z8" s="199" t="s">
        <v>90</v>
      </c>
      <c r="AA8" s="204" t="s">
        <v>91</v>
      </c>
      <c r="AB8" s="204" t="s">
        <v>92</v>
      </c>
      <c r="AC8" s="200" t="s">
        <v>47</v>
      </c>
      <c r="AD8" s="199" t="s">
        <v>90</v>
      </c>
      <c r="AE8" s="205" t="s">
        <v>93</v>
      </c>
      <c r="AF8" s="204" t="s">
        <v>94</v>
      </c>
      <c r="AG8" s="204" t="s">
        <v>95</v>
      </c>
      <c r="AH8" s="204" t="s">
        <v>96</v>
      </c>
      <c r="AI8" s="200" t="s">
        <v>97</v>
      </c>
    </row>
    <row r="9" spans="1:35" ht="83.5" customHeight="1" x14ac:dyDescent="0.2">
      <c r="A9" s="246">
        <v>1</v>
      </c>
      <c r="B9" s="62"/>
      <c r="C9" s="111" t="s">
        <v>121</v>
      </c>
      <c r="D9" s="111"/>
      <c r="E9" s="111"/>
      <c r="F9" s="111"/>
      <c r="G9" s="112"/>
      <c r="H9" s="113"/>
      <c r="I9" s="317">
        <v>0</v>
      </c>
      <c r="J9" s="10">
        <v>0</v>
      </c>
      <c r="K9" s="318">
        <f>Trans[[#This Row],[Column7]]-Trans[[#This Row],[Column8]]</f>
        <v>0</v>
      </c>
      <c r="L9" s="319">
        <f>IFERROR(Trans[[#This Row],[Column8]]/Trans[[#This Row],[Column7]],0)</f>
        <v>0</v>
      </c>
      <c r="M9" s="317">
        <v>0</v>
      </c>
      <c r="N9" s="10">
        <v>0</v>
      </c>
      <c r="O9" s="318">
        <f>Trans[[#This Row],[Column10]]-Trans[[#This Row],[Column11]]</f>
        <v>0</v>
      </c>
      <c r="P9" s="319">
        <f>IFERROR(N9/M9,0)</f>
        <v>0</v>
      </c>
      <c r="Q9" s="319">
        <f>IFERROR(Trans[[#This Row],[Column10]]/Trans[[#This Row],[Column7]],0)</f>
        <v>0</v>
      </c>
      <c r="R9" s="317">
        <v>0</v>
      </c>
      <c r="S9" s="10">
        <v>0</v>
      </c>
      <c r="T9" s="318">
        <f>Trans[[#This Row],[Column23]]-Trans[[#This Row],[Column27]]</f>
        <v>0</v>
      </c>
      <c r="U9" s="319">
        <f>IFERROR(Trans[[#This Row],[Column27]]/Trans[[#This Row],[Column23]],0)</f>
        <v>0</v>
      </c>
      <c r="V9" s="317">
        <v>0</v>
      </c>
      <c r="W9" s="10">
        <v>0</v>
      </c>
      <c r="X9" s="318">
        <f>Trans[[#This Row],[Column15]]-Trans[[#This Row],[Column16]]</f>
        <v>0</v>
      </c>
      <c r="Y9" s="319">
        <f>IFERROR(W9/V9,0)</f>
        <v>0</v>
      </c>
      <c r="Z9" s="320">
        <v>0</v>
      </c>
      <c r="AA9" s="34">
        <v>0</v>
      </c>
      <c r="AB9" s="321">
        <f>Trans[[#This Row],[Column19]]-Trans[[#This Row],[Column20]]</f>
        <v>0</v>
      </c>
      <c r="AC9" s="322">
        <f>IFERROR(AA9/Z9,0)</f>
        <v>0</v>
      </c>
      <c r="AD9" s="323">
        <v>0</v>
      </c>
      <c r="AE9" s="324">
        <v>0</v>
      </c>
      <c r="AF9" s="321">
        <f>Trans[[#This Row],[Column24]]-Trans[[#This Row],[Column30]]</f>
        <v>0</v>
      </c>
      <c r="AG9" s="322">
        <f>IFERROR(Trans[[#This Row],[Column30]]/Trans[[#This Row],[Column24]],0)</f>
        <v>0</v>
      </c>
      <c r="AH9" s="35">
        <f>IFERROR(Trans[[#This Row],[Column24]]/Trans[[#This Row],[Column19]],0)</f>
        <v>0</v>
      </c>
      <c r="AI9" s="325"/>
    </row>
    <row r="10" spans="1:35" ht="83.5" customHeight="1" x14ac:dyDescent="0.2">
      <c r="A10" s="246">
        <v>2</v>
      </c>
      <c r="B10" s="62"/>
      <c r="C10" s="111" t="s">
        <v>121</v>
      </c>
      <c r="D10" s="111"/>
      <c r="E10" s="111"/>
      <c r="F10" s="111"/>
      <c r="G10" s="126"/>
      <c r="H10" s="127"/>
      <c r="I10" s="118">
        <v>0</v>
      </c>
      <c r="J10" s="119">
        <v>0</v>
      </c>
      <c r="K10" s="120">
        <f>Trans[[#This Row],[Column7]]-Trans[[#This Row],[Column8]]</f>
        <v>0</v>
      </c>
      <c r="L10" s="81">
        <f>IFERROR(Trans[[#This Row],[Column8]]/Trans[[#This Row],[Column7]],0)</f>
        <v>0</v>
      </c>
      <c r="M10" s="118">
        <v>0</v>
      </c>
      <c r="N10" s="119">
        <v>0</v>
      </c>
      <c r="O10" s="120">
        <f>Trans[[#This Row],[Column10]]-Trans[[#This Row],[Column11]]</f>
        <v>0</v>
      </c>
      <c r="P10" s="81">
        <f t="shared" ref="P10:P12" si="0">IFERROR(N10/M10,0)</f>
        <v>0</v>
      </c>
      <c r="Q10" s="81">
        <f>IFERROR(Trans[[#This Row],[Column10]]/Trans[[#This Row],[Column7]],0)</f>
        <v>0</v>
      </c>
      <c r="R10" s="118">
        <v>0</v>
      </c>
      <c r="S10" s="119">
        <v>0</v>
      </c>
      <c r="T10" s="120">
        <f>Trans[[#This Row],[Column23]]-Trans[[#This Row],[Column27]]</f>
        <v>0</v>
      </c>
      <c r="U10" s="81">
        <f>IFERROR(Trans[[#This Row],[Column27]]/Trans[[#This Row],[Column23]],0)</f>
        <v>0</v>
      </c>
      <c r="V10" s="118">
        <v>0</v>
      </c>
      <c r="W10" s="119">
        <v>0</v>
      </c>
      <c r="X10" s="120">
        <f>Trans[[#This Row],[Column15]]-Trans[[#This Row],[Column16]]</f>
        <v>0</v>
      </c>
      <c r="Y10" s="81">
        <f t="shared" ref="Y10:Y12" si="1">IFERROR(W10/V10,0)</f>
        <v>0</v>
      </c>
      <c r="Z10" s="121">
        <v>0</v>
      </c>
      <c r="AA10" s="122">
        <v>0</v>
      </c>
      <c r="AB10" s="123">
        <f>Trans[[#This Row],[Column19]]-Trans[[#This Row],[Column20]]</f>
        <v>0</v>
      </c>
      <c r="AC10" s="82">
        <f t="shared" ref="AC10:AC12" si="2">IFERROR(AA10/Z10,0)</f>
        <v>0</v>
      </c>
      <c r="AD10" s="124">
        <v>0</v>
      </c>
      <c r="AE10" s="125">
        <v>0</v>
      </c>
      <c r="AF10" s="123">
        <f>Trans[[#This Row],[Column24]]-Trans[[#This Row],[Column30]]</f>
        <v>0</v>
      </c>
      <c r="AG10" s="82">
        <f>IFERROR(Trans[[#This Row],[Column30]]/Trans[[#This Row],[Column24]],0)</f>
        <v>0</v>
      </c>
      <c r="AH10" s="6">
        <f>IFERROR(Trans[[#This Row],[Column24]]/Trans[[#This Row],[Column19]],0)</f>
        <v>0</v>
      </c>
      <c r="AI10" s="130"/>
    </row>
    <row r="11" spans="1:35" ht="83.5" customHeight="1" x14ac:dyDescent="0.2">
      <c r="A11" s="246">
        <v>3</v>
      </c>
      <c r="B11" s="62"/>
      <c r="C11" s="111" t="s">
        <v>121</v>
      </c>
      <c r="D11" s="111"/>
      <c r="E11" s="111"/>
      <c r="F11" s="111"/>
      <c r="G11" s="126"/>
      <c r="H11" s="127"/>
      <c r="I11" s="118">
        <v>0</v>
      </c>
      <c r="J11" s="119">
        <v>0</v>
      </c>
      <c r="K11" s="120">
        <f>Trans[[#This Row],[Column7]]-Trans[[#This Row],[Column8]]</f>
        <v>0</v>
      </c>
      <c r="L11" s="81">
        <f>IFERROR(Trans[[#This Row],[Column8]]/Trans[[#This Row],[Column7]],0)</f>
        <v>0</v>
      </c>
      <c r="M11" s="118">
        <v>0</v>
      </c>
      <c r="N11" s="119">
        <v>0</v>
      </c>
      <c r="O11" s="120">
        <f>Trans[[#This Row],[Column10]]-Trans[[#This Row],[Column11]]</f>
        <v>0</v>
      </c>
      <c r="P11" s="81">
        <f t="shared" si="0"/>
        <v>0</v>
      </c>
      <c r="Q11" s="81">
        <f>IFERROR(Trans[[#This Row],[Column10]]/Trans[[#This Row],[Column7]],0)</f>
        <v>0</v>
      </c>
      <c r="R11" s="118">
        <v>0</v>
      </c>
      <c r="S11" s="119">
        <v>0</v>
      </c>
      <c r="T11" s="120">
        <f>Trans[[#This Row],[Column23]]-Trans[[#This Row],[Column27]]</f>
        <v>0</v>
      </c>
      <c r="U11" s="81">
        <f>IFERROR(Trans[[#This Row],[Column27]]/Trans[[#This Row],[Column23]],0)</f>
        <v>0</v>
      </c>
      <c r="V11" s="118">
        <v>0</v>
      </c>
      <c r="W11" s="119">
        <v>0</v>
      </c>
      <c r="X11" s="120">
        <f>Trans[[#This Row],[Column15]]-Trans[[#This Row],[Column16]]</f>
        <v>0</v>
      </c>
      <c r="Y11" s="81">
        <f t="shared" si="1"/>
        <v>0</v>
      </c>
      <c r="Z11" s="121">
        <v>0</v>
      </c>
      <c r="AA11" s="122">
        <v>0</v>
      </c>
      <c r="AB11" s="123">
        <f>Trans[[#This Row],[Column19]]-Trans[[#This Row],[Column20]]</f>
        <v>0</v>
      </c>
      <c r="AC11" s="82">
        <f t="shared" si="2"/>
        <v>0</v>
      </c>
      <c r="AD11" s="124">
        <v>0</v>
      </c>
      <c r="AE11" s="125">
        <v>0</v>
      </c>
      <c r="AF11" s="123">
        <f>Trans[[#This Row],[Column24]]-Trans[[#This Row],[Column30]]</f>
        <v>0</v>
      </c>
      <c r="AG11" s="82">
        <f>IFERROR(Trans[[#This Row],[Column30]]/Trans[[#This Row],[Column24]],0)</f>
        <v>0</v>
      </c>
      <c r="AH11" s="6">
        <f>IFERROR(Trans[[#This Row],[Column24]]/Trans[[#This Row],[Column19]],0)</f>
        <v>0</v>
      </c>
      <c r="AI11" s="36"/>
    </row>
    <row r="12" spans="1:35" ht="73" thickBot="1" x14ac:dyDescent="0.25">
      <c r="A12" s="246">
        <v>4</v>
      </c>
      <c r="B12" s="62"/>
      <c r="C12" s="111" t="s">
        <v>121</v>
      </c>
      <c r="D12" s="111"/>
      <c r="E12" s="111"/>
      <c r="F12" s="111"/>
      <c r="G12" s="131"/>
      <c r="H12" s="132"/>
      <c r="I12" s="137">
        <v>0</v>
      </c>
      <c r="J12" s="75">
        <v>0</v>
      </c>
      <c r="K12" s="138">
        <f>Trans[[#This Row],[Column7]]-Trans[[#This Row],[Column8]]</f>
        <v>0</v>
      </c>
      <c r="L12" s="83">
        <f>IFERROR(Trans[[#This Row],[Column8]]/Trans[[#This Row],[Column7]],0)</f>
        <v>0</v>
      </c>
      <c r="M12" s="137">
        <v>0</v>
      </c>
      <c r="N12" s="75">
        <v>0</v>
      </c>
      <c r="O12" s="138">
        <f>Trans[[#This Row],[Column10]]-Trans[[#This Row],[Column11]]</f>
        <v>0</v>
      </c>
      <c r="P12" s="83">
        <f t="shared" si="0"/>
        <v>0</v>
      </c>
      <c r="Q12" s="83">
        <f>IFERROR(Trans[[#This Row],[Column10]]/Trans[[#This Row],[Column7]],0)</f>
        <v>0</v>
      </c>
      <c r="R12" s="137">
        <v>0</v>
      </c>
      <c r="S12" s="75">
        <v>0</v>
      </c>
      <c r="T12" s="138">
        <f>Trans[[#This Row],[Column23]]-Trans[[#This Row],[Column27]]</f>
        <v>0</v>
      </c>
      <c r="U12" s="83">
        <f>IFERROR(Trans[[#This Row],[Column27]]/Trans[[#This Row],[Column23]],0)</f>
        <v>0</v>
      </c>
      <c r="V12" s="137">
        <v>0</v>
      </c>
      <c r="W12" s="75">
        <v>0</v>
      </c>
      <c r="X12" s="138">
        <f>Trans[[#This Row],[Column15]]-Trans[[#This Row],[Column16]]</f>
        <v>0</v>
      </c>
      <c r="Y12" s="83">
        <f t="shared" si="1"/>
        <v>0</v>
      </c>
      <c r="Z12" s="139">
        <v>0</v>
      </c>
      <c r="AA12" s="140">
        <v>0</v>
      </c>
      <c r="AB12" s="141">
        <f>Trans[[#This Row],[Column19]]-Trans[[#This Row],[Column20]]</f>
        <v>0</v>
      </c>
      <c r="AC12" s="84">
        <f t="shared" si="2"/>
        <v>0</v>
      </c>
      <c r="AD12" s="142">
        <v>0</v>
      </c>
      <c r="AE12" s="143">
        <v>0</v>
      </c>
      <c r="AF12" s="141">
        <f>Trans[[#This Row],[Column24]]-Trans[[#This Row],[Column30]]</f>
        <v>0</v>
      </c>
      <c r="AG12" s="84">
        <f>IFERROR(Trans[[#This Row],[Column30]]/Trans[[#This Row],[Column24]],0)</f>
        <v>0</v>
      </c>
      <c r="AH12" s="144">
        <f>IFERROR(Trans[[#This Row],[Column24]]/Trans[[#This Row],[Column19]],0)</f>
        <v>0</v>
      </c>
      <c r="AI12" s="85"/>
    </row>
    <row r="13" spans="1:35" ht="83.5" customHeight="1" thickBot="1" x14ac:dyDescent="0.25">
      <c r="A13" s="280"/>
      <c r="B13" s="294"/>
      <c r="C13" s="295"/>
      <c r="D13" s="296" t="s">
        <v>70</v>
      </c>
      <c r="E13" s="302"/>
      <c r="F13" s="303"/>
      <c r="G13" s="304"/>
      <c r="H13" s="305"/>
      <c r="I13" s="298">
        <f>SUBTOTAL(109,Trans[Column7])</f>
        <v>0</v>
      </c>
      <c r="J13" s="297">
        <f>SUBTOTAL(109,Trans[Column8])</f>
        <v>0</v>
      </c>
      <c r="K13" s="297">
        <f>SUBTOTAL(109,Trans[Column9])</f>
        <v>0</v>
      </c>
      <c r="L13" s="290">
        <f>IFERROR(Trans[[#Totals],[Column8]]/Trans[[#Totals],[Column7]],0)</f>
        <v>0</v>
      </c>
      <c r="M13" s="298">
        <f>SUBTOTAL(109,Trans[Column10])</f>
        <v>0</v>
      </c>
      <c r="N13" s="297">
        <f>SUBTOTAL(109,Trans[Column11])</f>
        <v>0</v>
      </c>
      <c r="O13" s="297">
        <f>SUBTOTAL(109,Trans[Column12])</f>
        <v>0</v>
      </c>
      <c r="P13" s="290">
        <f>IFERROR(Trans[[#Totals],[Column11]]/Trans[[#Totals],[Column10]],0)</f>
        <v>0</v>
      </c>
      <c r="Q13" s="290">
        <f>IFERROR(Trans[[#Totals],[Column10]]/Trans[[#Totals],[Column7]],0)</f>
        <v>0</v>
      </c>
      <c r="R13" s="298">
        <f>SUBTOTAL(109,Trans[Column23])</f>
        <v>0</v>
      </c>
      <c r="S13" s="294">
        <f>SUBTOTAL(109,Trans[Column27])</f>
        <v>0</v>
      </c>
      <c r="T13" s="294">
        <f>SUBTOTAL(109,Trans[Column28])</f>
        <v>0</v>
      </c>
      <c r="U13" s="290">
        <f>IFERROR(Trans[[#Totals],[Column27]]/Trans[[#Totals],[Column23]],0)</f>
        <v>0</v>
      </c>
      <c r="V13" s="298">
        <f>SUBTOTAL(109,Trans[Column15])</f>
        <v>0</v>
      </c>
      <c r="W13" s="294">
        <f>SUBTOTAL(109,Trans[Column16])</f>
        <v>0</v>
      </c>
      <c r="X13" s="294">
        <f>SUBTOTAL(109,Trans[Column17])</f>
        <v>0</v>
      </c>
      <c r="Y13" s="290">
        <f>IFERROR(Trans[[#Totals],[Column16]]/Trans[[#Totals],[Column15]],0)</f>
        <v>0</v>
      </c>
      <c r="Z13" s="299">
        <f>SUBTOTAL(109,Trans[Column19])</f>
        <v>0</v>
      </c>
      <c r="AA13" s="300">
        <f>SUBTOTAL(109,Trans[Column20])</f>
        <v>0</v>
      </c>
      <c r="AB13" s="300">
        <f>SUBTOTAL(109,Trans[Column21])</f>
        <v>0</v>
      </c>
      <c r="AC13" s="290">
        <f>IFERROR(Trans[[#Totals],[Column20]]/Trans[[#Totals],[Column19]],0)</f>
        <v>0</v>
      </c>
      <c r="AD13" s="299">
        <f>SUBTOTAL(109,Trans[Column24])</f>
        <v>0</v>
      </c>
      <c r="AE13" s="301">
        <f>SUBTOTAL(109,Trans[Column30])</f>
        <v>0</v>
      </c>
      <c r="AF13" s="300">
        <f>SUBTOTAL(109,Trans[Column29])</f>
        <v>0</v>
      </c>
      <c r="AG13" s="358">
        <f>IFERROR(Trans[[#Totals],[Column30]]/Trans[[#Totals],[Column24]],0)</f>
        <v>0</v>
      </c>
      <c r="AH13" s="341">
        <f>IFERROR(Trans[[#Totals],[Column24]]/Trans[[#Totals],[Column19]],0)</f>
        <v>0</v>
      </c>
      <c r="AI13" s="303"/>
    </row>
    <row r="14" spans="1:35" ht="18" thickBot="1" x14ac:dyDescent="0.25">
      <c r="A14" s="332" t="s">
        <v>122</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7"/>
    </row>
  </sheetData>
  <sheetProtection formatCells="0" formatRows="0" insertRows="0" deleteRows="0" sort="0" autoFilter="0" pivotTables="0"/>
  <mergeCells count="11">
    <mergeCell ref="H7:H8"/>
    <mergeCell ref="V7:Y7"/>
    <mergeCell ref="Z7:AC7"/>
    <mergeCell ref="AD7:AG7"/>
    <mergeCell ref="I7:L7"/>
    <mergeCell ref="R7:U7"/>
    <mergeCell ref="A7:A8"/>
    <mergeCell ref="B7:B8"/>
    <mergeCell ref="C7:C8"/>
    <mergeCell ref="D7:F7"/>
    <mergeCell ref="G7:G8"/>
  </mergeCells>
  <dataValidations count="3">
    <dataValidation allowBlank="1" showInputMessage="1" showErrorMessage="1" prompt="Please fill in the cell with text" sqref="B9:F12" xr:uid="{FE4ABF39-D459-455E-A834-A792DFC12F1E}"/>
    <dataValidation type="decimal" allowBlank="1" showInputMessage="1" showErrorMessage="1" prompt="Input only numbers" sqref="I9:J12 M9:N12 R9:S12 V9:W12 Z9:AA12 AD9:AE12" xr:uid="{02C33529-EFD1-40F9-8614-71BB3C6E467E}">
      <formula1>0</formula1>
      <formula2>10000000000000</formula2>
    </dataValidation>
    <dataValidation type="custom" allowBlank="1" showInputMessage="1" showErrorMessage="1" errorTitle="NOTICE!" error="Please don't input any value in this cell, there is formula " promptTitle="NOTICE!" prompt="Please don't input any value in this cell, there is formula " sqref="K9:L12 O9:Q12 T9:U12 X9:Y12 AB9:AC12 AF9:AG12" xr:uid="{CE7AF209-5582-4A22-B84D-18B10C8CC50E}">
      <formula1>"Please don't input any value in this cell, there is formula "</formula1>
    </dataValidation>
  </dataValidations>
  <pageMargins left="0.7" right="0.7" top="0.75" bottom="0.75" header="0.3" footer="0.3"/>
  <pageSetup paperSize="9" orientation="portrait" verticalDpi="4294967295"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5477E-7D77-429C-A9D6-C7A5493053EA}">
  <dimension ref="A1:AI14"/>
  <sheetViews>
    <sheetView view="pageBreakPreview" topLeftCell="F6" zoomScale="45" zoomScaleNormal="55" zoomScaleSheetLayoutView="45" workbookViewId="0">
      <selection activeCell="AD10" sqref="AD10"/>
    </sheetView>
  </sheetViews>
  <sheetFormatPr baseColWidth="10" defaultColWidth="8.6640625" defaultRowHeight="17" x14ac:dyDescent="0.2"/>
  <cols>
    <col min="1" max="1" width="13.5" style="2" customWidth="1"/>
    <col min="2" max="2" width="32.33203125" style="2" customWidth="1"/>
    <col min="3" max="3" width="33.5" style="2" customWidth="1"/>
    <col min="4" max="4" width="29.5" style="2" customWidth="1"/>
    <col min="5" max="6" width="27.33203125" style="2" customWidth="1"/>
    <col min="7" max="8" width="36.1640625" style="2" customWidth="1"/>
    <col min="9" max="12" width="17.33203125" style="2" customWidth="1"/>
    <col min="13" max="14" width="14.83203125" style="2" customWidth="1"/>
    <col min="15" max="15" width="20.6640625" style="2" customWidth="1"/>
    <col min="16" max="21" width="14.83203125" style="2" customWidth="1"/>
    <col min="22" max="22" width="20.33203125" style="2" customWidth="1"/>
    <col min="23" max="25" width="14.83203125" style="2" customWidth="1"/>
    <col min="26" max="28" width="15.1640625" style="2" customWidth="1"/>
    <col min="29" max="29" width="14.83203125" style="2" customWidth="1"/>
    <col min="30" max="30" width="33.5" style="2" customWidth="1"/>
    <col min="31" max="33" width="21" style="2" customWidth="1"/>
    <col min="34" max="34" width="27" style="2" customWidth="1"/>
    <col min="35" max="35" width="14.83203125" style="2" customWidth="1"/>
    <col min="36" max="16384" width="8.6640625" style="102"/>
  </cols>
  <sheetData>
    <row r="1" spans="1:35" ht="18" hidden="1" thickBot="1" x14ac:dyDescent="0.25">
      <c r="B1" s="3" t="s">
        <v>123</v>
      </c>
    </row>
    <row r="2" spans="1:35" hidden="1" x14ac:dyDescent="0.2">
      <c r="B2" s="26" t="s">
        <v>40</v>
      </c>
      <c r="C2" s="238">
        <f>'#1'!C2</f>
        <v>0</v>
      </c>
      <c r="D2" s="25" t="s">
        <v>41</v>
      </c>
      <c r="E2" s="239">
        <f>'#2'!E2</f>
        <v>0</v>
      </c>
      <c r="F2" s="105"/>
    </row>
    <row r="3" spans="1:35" hidden="1" x14ac:dyDescent="0.2">
      <c r="B3" s="106" t="s">
        <v>42</v>
      </c>
      <c r="C3" s="240">
        <f>'#1'!C3</f>
        <v>0</v>
      </c>
      <c r="D3" s="105" t="s">
        <v>43</v>
      </c>
      <c r="E3" s="241">
        <f>'#2'!E3</f>
        <v>0</v>
      </c>
      <c r="F3" s="105"/>
    </row>
    <row r="4" spans="1:35" ht="35" hidden="1" thickBot="1" x14ac:dyDescent="0.25">
      <c r="B4" s="13" t="s">
        <v>44</v>
      </c>
      <c r="C4" s="108">
        <f>'#1'!C4</f>
        <v>0</v>
      </c>
      <c r="D4" s="109" t="s">
        <v>45</v>
      </c>
      <c r="E4" s="242">
        <f>'#2'!E4</f>
        <v>0</v>
      </c>
      <c r="F4" s="15"/>
    </row>
    <row r="5" spans="1:35" ht="18" hidden="1" thickBot="1" x14ac:dyDescent="0.25"/>
    <row r="6" spans="1:35" s="2" customFormat="1" ht="83.5" customHeight="1" thickBot="1" x14ac:dyDescent="0.25">
      <c r="A6" s="525" t="s">
        <v>133</v>
      </c>
      <c r="B6" s="522"/>
      <c r="C6" s="522"/>
      <c r="D6" s="522"/>
      <c r="E6" s="522"/>
      <c r="F6" s="522"/>
      <c r="G6" s="522"/>
      <c r="H6" s="522"/>
      <c r="I6" s="522"/>
      <c r="J6" s="522"/>
      <c r="K6" s="522"/>
      <c r="L6" s="522"/>
      <c r="M6" s="522"/>
      <c r="N6" s="522"/>
      <c r="O6" s="522"/>
      <c r="P6" s="522"/>
      <c r="Q6" s="522"/>
      <c r="R6" s="522"/>
      <c r="S6" s="522"/>
      <c r="T6" s="522"/>
      <c r="U6" s="522"/>
      <c r="V6" s="522"/>
      <c r="W6" s="522"/>
      <c r="X6" s="522"/>
      <c r="Y6" s="522"/>
      <c r="Z6" s="522"/>
      <c r="AA6" s="522"/>
      <c r="AB6" s="522"/>
      <c r="AC6" s="522"/>
      <c r="AD6" s="522"/>
      <c r="AE6" s="522"/>
      <c r="AF6" s="522"/>
      <c r="AG6" s="522"/>
      <c r="AH6" s="522"/>
      <c r="AI6" s="523"/>
    </row>
    <row r="7" spans="1:35" s="2" customFormat="1" ht="83.5" customHeight="1" thickBot="1" x14ac:dyDescent="0.25">
      <c r="A7" s="623" t="s">
        <v>50</v>
      </c>
      <c r="B7" s="625" t="s">
        <v>116</v>
      </c>
      <c r="C7" s="627" t="s">
        <v>52</v>
      </c>
      <c r="D7" s="629" t="s">
        <v>53</v>
      </c>
      <c r="E7" s="630"/>
      <c r="F7" s="631"/>
      <c r="G7" s="632" t="s">
        <v>80</v>
      </c>
      <c r="H7" s="664" t="s">
        <v>81</v>
      </c>
      <c r="I7" s="668" t="s">
        <v>107</v>
      </c>
      <c r="J7" s="666"/>
      <c r="K7" s="666"/>
      <c r="L7" s="667"/>
      <c r="M7" s="511" t="s">
        <v>108</v>
      </c>
      <c r="N7" s="512"/>
      <c r="O7" s="512"/>
      <c r="P7" s="512"/>
      <c r="Q7" s="537" t="s">
        <v>150</v>
      </c>
      <c r="R7" s="630" t="s">
        <v>109</v>
      </c>
      <c r="S7" s="630"/>
      <c r="T7" s="630"/>
      <c r="U7" s="631"/>
      <c r="V7" s="629" t="s">
        <v>110</v>
      </c>
      <c r="W7" s="630"/>
      <c r="X7" s="630"/>
      <c r="Y7" s="631"/>
      <c r="Z7" s="636" t="s">
        <v>57</v>
      </c>
      <c r="AA7" s="637"/>
      <c r="AB7" s="637"/>
      <c r="AC7" s="638"/>
      <c r="AD7" s="661" t="s">
        <v>119</v>
      </c>
      <c r="AE7" s="662"/>
      <c r="AF7" s="662"/>
      <c r="AG7" s="663"/>
      <c r="AH7" s="314" t="s">
        <v>151</v>
      </c>
      <c r="AI7" s="315" t="s">
        <v>120</v>
      </c>
    </row>
    <row r="8" spans="1:35" s="2" customFormat="1" ht="83.5" customHeight="1" thickBot="1" x14ac:dyDescent="0.25">
      <c r="A8" s="624"/>
      <c r="B8" s="626"/>
      <c r="C8" s="628"/>
      <c r="D8" s="201" t="s">
        <v>59</v>
      </c>
      <c r="E8" s="202" t="s">
        <v>86</v>
      </c>
      <c r="F8" s="203" t="s">
        <v>87</v>
      </c>
      <c r="G8" s="633"/>
      <c r="H8" s="665"/>
      <c r="I8" s="199" t="s">
        <v>64</v>
      </c>
      <c r="J8" s="204" t="s">
        <v>88</v>
      </c>
      <c r="K8" s="204" t="s">
        <v>89</v>
      </c>
      <c r="L8" s="200" t="s">
        <v>47</v>
      </c>
      <c r="M8" s="199" t="s">
        <v>64</v>
      </c>
      <c r="N8" s="204" t="s">
        <v>88</v>
      </c>
      <c r="O8" s="204" t="s">
        <v>89</v>
      </c>
      <c r="P8" s="535" t="s">
        <v>47</v>
      </c>
      <c r="Q8" s="537" t="s">
        <v>96</v>
      </c>
      <c r="R8" s="536" t="s">
        <v>64</v>
      </c>
      <c r="S8" s="204" t="s">
        <v>88</v>
      </c>
      <c r="T8" s="204" t="s">
        <v>89</v>
      </c>
      <c r="U8" s="200" t="s">
        <v>47</v>
      </c>
      <c r="V8" s="199" t="s">
        <v>64</v>
      </c>
      <c r="W8" s="204" t="s">
        <v>88</v>
      </c>
      <c r="X8" s="204" t="s">
        <v>89</v>
      </c>
      <c r="Y8" s="200" t="s">
        <v>47</v>
      </c>
      <c r="Z8" s="199" t="s">
        <v>90</v>
      </c>
      <c r="AA8" s="204" t="s">
        <v>91</v>
      </c>
      <c r="AB8" s="204" t="s">
        <v>92</v>
      </c>
      <c r="AC8" s="200" t="s">
        <v>47</v>
      </c>
      <c r="AD8" s="199" t="s">
        <v>90</v>
      </c>
      <c r="AE8" s="205" t="s">
        <v>93</v>
      </c>
      <c r="AF8" s="204" t="s">
        <v>94</v>
      </c>
      <c r="AG8" s="204" t="s">
        <v>95</v>
      </c>
      <c r="AH8" s="204" t="s">
        <v>96</v>
      </c>
      <c r="AI8" s="200" t="s">
        <v>97</v>
      </c>
    </row>
    <row r="9" spans="1:35" ht="83.5" customHeight="1" x14ac:dyDescent="0.2">
      <c r="A9" s="246">
        <v>1</v>
      </c>
      <c r="B9" s="62"/>
      <c r="C9" s="111" t="s">
        <v>121</v>
      </c>
      <c r="D9" s="111"/>
      <c r="E9" s="111"/>
      <c r="F9" s="111"/>
      <c r="G9" s="112"/>
      <c r="H9" s="113"/>
      <c r="I9" s="114">
        <v>0</v>
      </c>
      <c r="J9" s="115">
        <v>0</v>
      </c>
      <c r="K9" s="247">
        <f>Health[[#This Row],[Column7]]-Health[[#This Row],[Column8]]</f>
        <v>0</v>
      </c>
      <c r="L9" s="248">
        <f>IFERROR(Health[[#This Row],[Column8]]/Health[[#This Row],[Column7]],0)</f>
        <v>0</v>
      </c>
      <c r="M9" s="317">
        <v>0</v>
      </c>
      <c r="N9" s="10">
        <v>0</v>
      </c>
      <c r="O9" s="365">
        <f>Health[[#This Row],[Column10]]-Health[[#This Row],[Column11]]</f>
        <v>0</v>
      </c>
      <c r="P9" s="366">
        <f>IFERROR(N9/M9,0)</f>
        <v>0</v>
      </c>
      <c r="Q9" s="366">
        <f>IFERROR(Health[[#This Row],[Column10]]/Health[[#This Row],[Column7]],0)</f>
        <v>0</v>
      </c>
      <c r="R9" s="317">
        <v>0</v>
      </c>
      <c r="S9" s="10">
        <v>0</v>
      </c>
      <c r="T9" s="318">
        <f>Health[[#This Row],[Column23]]-Health[[#This Row],[Column27]]</f>
        <v>0</v>
      </c>
      <c r="U9" s="319">
        <f>IFERROR(Health[[#This Row],[Column27]]/Health[[#This Row],[Column23]],0)</f>
        <v>0</v>
      </c>
      <c r="V9" s="317">
        <v>0</v>
      </c>
      <c r="W9" s="10">
        <v>0</v>
      </c>
      <c r="X9" s="318">
        <f>Health[[#This Row],[Column15]]-Health[[#This Row],[Column16]]</f>
        <v>0</v>
      </c>
      <c r="Y9" s="319">
        <f>IFERROR(W9/V9,0)</f>
        <v>0</v>
      </c>
      <c r="Z9" s="320">
        <v>0</v>
      </c>
      <c r="AA9" s="34">
        <v>0</v>
      </c>
      <c r="AB9" s="321">
        <f>Health[[#This Row],[Column19]]-Health[[#This Row],[Column20]]</f>
        <v>0</v>
      </c>
      <c r="AC9" s="322">
        <f>IFERROR(AA9/Z9,0)</f>
        <v>0</v>
      </c>
      <c r="AD9" s="367">
        <v>0</v>
      </c>
      <c r="AE9" s="324">
        <v>0</v>
      </c>
      <c r="AF9" s="321">
        <f>Health[[#This Row],[Column24]]-Health[[#This Row],[Column30]]</f>
        <v>0</v>
      </c>
      <c r="AG9" s="322">
        <f>IFERROR(Health[[#This Row],[Column30]]/Health[[#This Row],[Column24]],0)</f>
        <v>0</v>
      </c>
      <c r="AH9" s="35">
        <f>IFERROR(Health[[#This Row],[Column24]]/Health[[#This Row],[Column19]],0)</f>
        <v>0</v>
      </c>
      <c r="AI9" s="325"/>
    </row>
    <row r="10" spans="1:35" ht="83.5" customHeight="1" x14ac:dyDescent="0.2">
      <c r="A10" s="246">
        <v>2</v>
      </c>
      <c r="B10" s="62"/>
      <c r="C10" s="111" t="s">
        <v>121</v>
      </c>
      <c r="D10" s="111"/>
      <c r="E10" s="111"/>
      <c r="F10" s="111"/>
      <c r="G10" s="126"/>
      <c r="H10" s="127"/>
      <c r="I10" s="114">
        <v>0</v>
      </c>
      <c r="J10" s="128">
        <v>0</v>
      </c>
      <c r="K10" s="247">
        <f>Health[[#This Row],[Column7]]-Health[[#This Row],[Column8]]</f>
        <v>0</v>
      </c>
      <c r="L10" s="248">
        <f>IFERROR(Health[[#This Row],[Column8]]/Health[[#This Row],[Column7]],0)</f>
        <v>0</v>
      </c>
      <c r="M10" s="118">
        <v>0</v>
      </c>
      <c r="N10" s="119">
        <v>0</v>
      </c>
      <c r="O10" s="249">
        <f>Health[[#This Row],[Column10]]-Health[[#This Row],[Column11]]</f>
        <v>0</v>
      </c>
      <c r="P10" s="250">
        <f t="shared" ref="P10:P12" si="0">IFERROR(N10/M10,0)</f>
        <v>0</v>
      </c>
      <c r="Q10" s="250">
        <f>IFERROR(Health[[#This Row],[Column10]]/Health[[#This Row],[Column7]],0)</f>
        <v>0</v>
      </c>
      <c r="R10" s="118">
        <v>0</v>
      </c>
      <c r="S10" s="119">
        <v>0</v>
      </c>
      <c r="T10" s="120">
        <f>Health[[#This Row],[Column23]]-Health[[#This Row],[Column27]]</f>
        <v>0</v>
      </c>
      <c r="U10" s="81">
        <f>IFERROR(Health[[#This Row],[Column27]]/Health[[#This Row],[Column23]],0)</f>
        <v>0</v>
      </c>
      <c r="V10" s="118">
        <v>0</v>
      </c>
      <c r="W10" s="119">
        <v>0</v>
      </c>
      <c r="X10" s="120">
        <f>Health[[#This Row],[Column15]]-Health[[#This Row],[Column16]]</f>
        <v>0</v>
      </c>
      <c r="Y10" s="81">
        <f>IFERROR(W12/V12,0)</f>
        <v>0</v>
      </c>
      <c r="Z10" s="121">
        <v>0</v>
      </c>
      <c r="AA10" s="122">
        <v>0</v>
      </c>
      <c r="AB10" s="123">
        <f>Health[[#This Row],[Column19]]-Health[[#This Row],[Column20]]</f>
        <v>0</v>
      </c>
      <c r="AC10" s="82">
        <f t="shared" ref="AC10:AC12" si="1">IFERROR(AA10/Z10,0)</f>
        <v>0</v>
      </c>
      <c r="AD10" s="129">
        <v>0</v>
      </c>
      <c r="AE10" s="125">
        <v>0</v>
      </c>
      <c r="AF10" s="123">
        <f>Health[[#This Row],[Column24]]-Health[[#This Row],[Column30]]</f>
        <v>0</v>
      </c>
      <c r="AG10" s="82">
        <f>IFERROR(Health[[#This Row],[Column30]]/Health[[#This Row],[Column24]],0)</f>
        <v>0</v>
      </c>
      <c r="AH10" s="6">
        <f>IFERROR(Health[[#This Row],[Column24]]/Health[[#This Row],[Column19]],0)</f>
        <v>0</v>
      </c>
      <c r="AI10" s="130"/>
    </row>
    <row r="11" spans="1:35" ht="83.5" customHeight="1" x14ac:dyDescent="0.2">
      <c r="A11" s="246">
        <v>3</v>
      </c>
      <c r="B11" s="62"/>
      <c r="C11" s="111" t="s">
        <v>121</v>
      </c>
      <c r="D11" s="111"/>
      <c r="E11" s="111"/>
      <c r="F11" s="111"/>
      <c r="G11" s="126"/>
      <c r="H11" s="127"/>
      <c r="I11" s="114">
        <v>0</v>
      </c>
      <c r="J11" s="128">
        <v>0</v>
      </c>
      <c r="K11" s="247">
        <f>Health[[#This Row],[Column7]]-Health[[#This Row],[Column8]]</f>
        <v>0</v>
      </c>
      <c r="L11" s="248">
        <f>IFERROR(Health[[#This Row],[Column8]]/Health[[#This Row],[Column7]],0)</f>
        <v>0</v>
      </c>
      <c r="M11" s="118">
        <v>0</v>
      </c>
      <c r="N11" s="119">
        <v>0</v>
      </c>
      <c r="O11" s="249">
        <f>Health[[#This Row],[Column10]]-Health[[#This Row],[Column11]]</f>
        <v>0</v>
      </c>
      <c r="P11" s="250">
        <f t="shared" si="0"/>
        <v>0</v>
      </c>
      <c r="Q11" s="250">
        <f>IFERROR(Health[[#This Row],[Column10]]/Health[[#This Row],[Column7]],0)</f>
        <v>0</v>
      </c>
      <c r="R11" s="118">
        <v>0</v>
      </c>
      <c r="S11" s="119">
        <v>0</v>
      </c>
      <c r="T11" s="120">
        <f>Health[[#This Row],[Column23]]-Health[[#This Row],[Column27]]</f>
        <v>0</v>
      </c>
      <c r="U11" s="81">
        <f>IFERROR(Health[[#This Row],[Column27]]/Health[[#This Row],[Column23]],0)</f>
        <v>0</v>
      </c>
      <c r="V11" s="118">
        <v>0</v>
      </c>
      <c r="W11" s="119">
        <v>0</v>
      </c>
      <c r="X11" s="120">
        <f>Health[[#This Row],[Column15]]-Health[[#This Row],[Column16]]</f>
        <v>0</v>
      </c>
      <c r="Y11" s="81">
        <f>IFERROR(W11/V11,0)</f>
        <v>0</v>
      </c>
      <c r="Z11" s="121">
        <v>0</v>
      </c>
      <c r="AA11" s="122">
        <v>0</v>
      </c>
      <c r="AB11" s="123">
        <f>Health[[#This Row],[Column19]]-Health[[#This Row],[Column20]]</f>
        <v>0</v>
      </c>
      <c r="AC11" s="82">
        <f t="shared" si="1"/>
        <v>0</v>
      </c>
      <c r="AD11" s="129">
        <v>0</v>
      </c>
      <c r="AE11" s="125">
        <v>0</v>
      </c>
      <c r="AF11" s="123">
        <f>Health[[#This Row],[Column24]]-Health[[#This Row],[Column30]]</f>
        <v>0</v>
      </c>
      <c r="AG11" s="82">
        <f>IFERROR(Health[[#This Row],[Column30]]/Health[[#This Row],[Column24]],0)</f>
        <v>0</v>
      </c>
      <c r="AH11" s="6">
        <f>IFERROR(Health[[#This Row],[Column24]]/Health[[#This Row],[Column19]],0)</f>
        <v>0</v>
      </c>
      <c r="AI11" s="36"/>
    </row>
    <row r="12" spans="1:35" ht="73" thickBot="1" x14ac:dyDescent="0.25">
      <c r="A12" s="246">
        <v>4</v>
      </c>
      <c r="B12" s="62"/>
      <c r="C12" s="111" t="s">
        <v>121</v>
      </c>
      <c r="D12" s="111"/>
      <c r="E12" s="111"/>
      <c r="F12" s="111"/>
      <c r="G12" s="131"/>
      <c r="H12" s="132"/>
      <c r="I12" s="133">
        <v>0</v>
      </c>
      <c r="J12" s="134">
        <v>0</v>
      </c>
      <c r="K12" s="362">
        <f>Health[[#This Row],[Column7]]-Health[[#This Row],[Column8]]</f>
        <v>0</v>
      </c>
      <c r="L12" s="251">
        <f>IFERROR(Health[[#This Row],[Column8]]/Health[[#This Row],[Column7]],0)</f>
        <v>0</v>
      </c>
      <c r="M12" s="137">
        <v>0</v>
      </c>
      <c r="N12" s="75">
        <v>0</v>
      </c>
      <c r="O12" s="363">
        <f>Health[[#This Row],[Column10]]-Health[[#This Row],[Column11]]</f>
        <v>0</v>
      </c>
      <c r="P12" s="252">
        <f t="shared" si="0"/>
        <v>0</v>
      </c>
      <c r="Q12" s="252">
        <f>IFERROR(Health[[#This Row],[Column10]]/Health[[#This Row],[Column7]],0)</f>
        <v>0</v>
      </c>
      <c r="R12" s="137">
        <v>0</v>
      </c>
      <c r="S12" s="75">
        <v>0</v>
      </c>
      <c r="T12" s="138">
        <f>Health[[#This Row],[Column23]]-Health[[#This Row],[Column27]]</f>
        <v>0</v>
      </c>
      <c r="U12" s="83">
        <f>IFERROR(Health[[#This Row],[Column27]]/Health[[#This Row],[Column23]],0)</f>
        <v>0</v>
      </c>
      <c r="V12" s="137">
        <v>0</v>
      </c>
      <c r="W12" s="75">
        <v>0</v>
      </c>
      <c r="X12" s="138">
        <f>Health[[#This Row],[Column15]]-Health[[#This Row],[Column16]]</f>
        <v>0</v>
      </c>
      <c r="Y12" s="83">
        <f>IFERROR(W12/V12,0)</f>
        <v>0</v>
      </c>
      <c r="Z12" s="139">
        <v>0</v>
      </c>
      <c r="AA12" s="140">
        <v>0</v>
      </c>
      <c r="AB12" s="141">
        <f>Health[[#This Row],[Column19]]-Health[[#This Row],[Column20]]</f>
        <v>0</v>
      </c>
      <c r="AC12" s="84">
        <f t="shared" si="1"/>
        <v>0</v>
      </c>
      <c r="AD12" s="364">
        <v>0</v>
      </c>
      <c r="AE12" s="143">
        <v>0</v>
      </c>
      <c r="AF12" s="141">
        <f>Health[[#This Row],[Column24]]-Health[[#This Row],[Column30]]</f>
        <v>0</v>
      </c>
      <c r="AG12" s="84">
        <f>IFERROR(Health[[#This Row],[Column30]]/Health[[#This Row],[Column24]],0)</f>
        <v>0</v>
      </c>
      <c r="AH12" s="144">
        <f>IFERROR(Health[[#This Row],[Column24]]/Health[[#This Row],[Column19]],0)</f>
        <v>0</v>
      </c>
      <c r="AI12" s="85"/>
    </row>
    <row r="13" spans="1:35" ht="83.5" customHeight="1" thickBot="1" x14ac:dyDescent="0.25">
      <c r="A13" s="280"/>
      <c r="B13" s="294"/>
      <c r="C13" s="295"/>
      <c r="D13" s="296" t="s">
        <v>70</v>
      </c>
      <c r="E13" s="302"/>
      <c r="F13" s="303"/>
      <c r="G13" s="304"/>
      <c r="H13" s="305"/>
      <c r="I13" s="359">
        <f>SUBTOTAL(109,Health[Column7])</f>
        <v>0</v>
      </c>
      <c r="J13" s="360">
        <f>SUBTOTAL(109,Health[Column8])</f>
        <v>0</v>
      </c>
      <c r="K13" s="360">
        <f>SUBTOTAL(109,Health[Column9])</f>
        <v>0</v>
      </c>
      <c r="L13" s="361">
        <f>IFERROR(Health[[#Totals],[Column8]]/Health[[#Totals],[Column7]],0)</f>
        <v>0</v>
      </c>
      <c r="M13" s="298">
        <f>SUBTOTAL(109,Health[Column10])</f>
        <v>0</v>
      </c>
      <c r="N13" s="297">
        <f>SUBTOTAL(109,Health[Column11])</f>
        <v>0</v>
      </c>
      <c r="O13" s="297">
        <f>SUBTOTAL(109,Health[Column12])</f>
        <v>0</v>
      </c>
      <c r="P13" s="290">
        <f>IFERROR(Health[[#Totals],[Column11]]/Health[[#Totals],[Column10]],0)</f>
        <v>0</v>
      </c>
      <c r="Q13" s="290">
        <f>IFERROR(Health[[#Totals],[Column10]]/Health[[#Totals],[Column7]],0)</f>
        <v>0</v>
      </c>
      <c r="R13" s="298">
        <f>SUBTOTAL(109,Health[Column23])</f>
        <v>0</v>
      </c>
      <c r="S13" s="294">
        <f>SUBTOTAL(109,Health[Column27])</f>
        <v>0</v>
      </c>
      <c r="T13" s="294">
        <f>SUBTOTAL(109,Health[Column28])</f>
        <v>0</v>
      </c>
      <c r="U13" s="290">
        <f>IFERROR(Health[[#Totals],[Column27]]/Health[[#Totals],[Column23]],0)</f>
        <v>0</v>
      </c>
      <c r="V13" s="298">
        <f>SUBTOTAL(109,Health[Column15])</f>
        <v>0</v>
      </c>
      <c r="W13" s="294">
        <f>SUBTOTAL(109,Health[Column16])</f>
        <v>0</v>
      </c>
      <c r="X13" s="294">
        <f>SUBTOTAL(109,Health[Column17])</f>
        <v>0</v>
      </c>
      <c r="Y13" s="290">
        <f>IFERROR(Health[[#Totals],[Column16]]/Health[[#Totals],[Column15]],0)</f>
        <v>0</v>
      </c>
      <c r="Z13" s="299">
        <f>SUBTOTAL(109,Health[Column19])</f>
        <v>0</v>
      </c>
      <c r="AA13" s="300">
        <f>SUBTOTAL(109,Health[Column20])</f>
        <v>0</v>
      </c>
      <c r="AB13" s="300">
        <f>SUBTOTAL(109,Health[Column21])</f>
        <v>0</v>
      </c>
      <c r="AC13" s="290">
        <f>IFERROR(Health[[#Totals],[Column20]]/Health[[#Totals],[Column19]],0)</f>
        <v>0</v>
      </c>
      <c r="AD13" s="299">
        <f>SUBTOTAL(109,Health[Column24])</f>
        <v>0</v>
      </c>
      <c r="AE13" s="301">
        <f>SUBTOTAL(109,Health[Column30])</f>
        <v>0</v>
      </c>
      <c r="AF13" s="300">
        <f>SUBTOTAL(109,Health[Column29])</f>
        <v>0</v>
      </c>
      <c r="AG13" s="339">
        <f>IFERROR(Health[[#Totals],[Column30]]/Health[[#Totals],[Column24]],0)</f>
        <v>0</v>
      </c>
      <c r="AH13" s="341">
        <f>IFERROR(Health[[#Totals],[Column24]]/Health[[#Totals],[Column19]],0)</f>
        <v>0</v>
      </c>
      <c r="AI13" s="303"/>
    </row>
    <row r="14" spans="1:35" ht="18" thickBot="1" x14ac:dyDescent="0.25">
      <c r="A14" s="332" t="s">
        <v>122</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7"/>
    </row>
  </sheetData>
  <sheetProtection formatRows="0" insertRows="0" deleteRows="0" sort="0" autoFilter="0" pivotTables="0"/>
  <mergeCells count="11">
    <mergeCell ref="AD7:AG7"/>
    <mergeCell ref="I7:L7"/>
    <mergeCell ref="R7:U7"/>
    <mergeCell ref="V7:Y7"/>
    <mergeCell ref="Z7:AC7"/>
    <mergeCell ref="H7:H8"/>
    <mergeCell ref="A7:A8"/>
    <mergeCell ref="B7:B8"/>
    <mergeCell ref="C7:C8"/>
    <mergeCell ref="D7:F7"/>
    <mergeCell ref="G7:G8"/>
  </mergeCells>
  <dataValidations count="3">
    <dataValidation allowBlank="1" showInputMessage="1" showErrorMessage="1" prompt="Please fill in the cell with text" sqref="B9:F12" xr:uid="{4A65603F-34F8-4DDE-9D88-4839409A0E9D}"/>
    <dataValidation type="decimal" allowBlank="1" showInputMessage="1" showErrorMessage="1" prompt="Input only numbers" sqref="I9:J12 M9:N12 R9:S12 V9:W12 Z9:AA12 AD9:AE12" xr:uid="{5FD4E1FE-4196-497D-B602-D27AB54C9423}">
      <formula1>0</formula1>
      <formula2>100000000000</formula2>
    </dataValidation>
    <dataValidation type="custom" allowBlank="1" showInputMessage="1" showErrorMessage="1" errorTitle="NOTICE!" error="Please don't input any value in this cell, there is formula" promptTitle="NOTICE!" prompt="Please don't input any value in this cell, there is formula" sqref="K9:L12 O9:Q12 T9:U12 X9:Y12 AB9:AC12 AF9:AG12" xr:uid="{83C3F777-98D9-43B7-81FD-B5FCB7E69028}">
      <formula1>"Please don't input any value in this cell, there is formula"</formula1>
    </dataValidation>
  </dataValidations>
  <pageMargins left="0.7" right="0.7" top="0.75" bottom="0.75" header="0.3" footer="0.3"/>
  <pageSetup paperSize="9" orientation="portrait" verticalDpi="4294967295" r:id="rId1"/>
  <colBreaks count="2" manualBreakCount="2">
    <brk id="8" min="1" max="13" man="1"/>
    <brk id="14" min="1" max="13" man="1"/>
  </colBreaks>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8DC9B-46FC-46E9-BE68-17C7A1CFE908}">
  <dimension ref="A1:AI14"/>
  <sheetViews>
    <sheetView view="pageBreakPreview" topLeftCell="E6" zoomScale="46" zoomScaleNormal="55" zoomScaleSheetLayoutView="46" workbookViewId="0">
      <selection activeCell="AD32" sqref="AD32"/>
    </sheetView>
  </sheetViews>
  <sheetFormatPr baseColWidth="10" defaultColWidth="8.6640625" defaultRowHeight="17" x14ac:dyDescent="0.2"/>
  <cols>
    <col min="1" max="1" width="13.5" style="2" customWidth="1"/>
    <col min="2" max="2" width="32.33203125" style="2" customWidth="1"/>
    <col min="3" max="3" width="33.5" style="2" customWidth="1"/>
    <col min="4" max="4" width="29.5" style="2" customWidth="1"/>
    <col min="5" max="6" width="27.33203125" style="2" customWidth="1"/>
    <col min="7" max="8" width="36.1640625" style="2" customWidth="1"/>
    <col min="9" max="12" width="17.33203125" style="2" customWidth="1"/>
    <col min="13" max="21" width="14.83203125" style="2" customWidth="1"/>
    <col min="22" max="22" width="20.33203125" style="2" customWidth="1"/>
    <col min="23" max="25" width="14.83203125" style="2" customWidth="1"/>
    <col min="26" max="28" width="15.1640625" style="2" customWidth="1"/>
    <col min="29" max="29" width="14.83203125" style="2" customWidth="1"/>
    <col min="30" max="30" width="33.5" style="2" customWidth="1"/>
    <col min="31" max="33" width="21" style="2" customWidth="1"/>
    <col min="34" max="34" width="27" style="2" customWidth="1"/>
    <col min="35" max="35" width="14.83203125" style="2" customWidth="1"/>
    <col min="36" max="16384" width="8.6640625" style="102"/>
  </cols>
  <sheetData>
    <row r="1" spans="1:35" ht="18" hidden="1" thickBot="1" x14ac:dyDescent="0.25">
      <c r="B1" s="3" t="s">
        <v>123</v>
      </c>
    </row>
    <row r="2" spans="1:35" hidden="1" x14ac:dyDescent="0.2">
      <c r="B2" s="26" t="s">
        <v>40</v>
      </c>
      <c r="C2" s="238">
        <f>'#1'!C2</f>
        <v>0</v>
      </c>
      <c r="D2" s="25" t="s">
        <v>41</v>
      </c>
      <c r="E2" s="239">
        <f>'#2'!E2</f>
        <v>0</v>
      </c>
      <c r="F2" s="105"/>
    </row>
    <row r="3" spans="1:35" hidden="1" x14ac:dyDescent="0.2">
      <c r="B3" s="106" t="s">
        <v>42</v>
      </c>
      <c r="C3" s="240">
        <f>'#1'!C3</f>
        <v>0</v>
      </c>
      <c r="D3" s="105" t="s">
        <v>43</v>
      </c>
      <c r="E3" s="241">
        <f>'#2'!E3</f>
        <v>0</v>
      </c>
      <c r="F3" s="105"/>
    </row>
    <row r="4" spans="1:35" ht="35" hidden="1" thickBot="1" x14ac:dyDescent="0.25">
      <c r="B4" s="13" t="s">
        <v>44</v>
      </c>
      <c r="C4" s="108">
        <f>'#1'!C4</f>
        <v>0</v>
      </c>
      <c r="D4" s="109" t="s">
        <v>45</v>
      </c>
      <c r="E4" s="242">
        <f>'#2'!E4</f>
        <v>0</v>
      </c>
      <c r="F4" s="15"/>
    </row>
    <row r="5" spans="1:35" ht="18" hidden="1" thickBot="1" x14ac:dyDescent="0.25"/>
    <row r="6" spans="1:35" s="2" customFormat="1" ht="83.5" customHeight="1" thickBot="1" x14ac:dyDescent="0.25">
      <c r="A6" s="525" t="s">
        <v>134</v>
      </c>
      <c r="B6" s="522"/>
      <c r="C6" s="522"/>
      <c r="D6" s="522"/>
      <c r="E6" s="522"/>
      <c r="F6" s="522"/>
      <c r="G6" s="522"/>
      <c r="H6" s="522"/>
      <c r="I6" s="522"/>
      <c r="J6" s="522"/>
      <c r="K6" s="522"/>
      <c r="L6" s="522"/>
      <c r="M6" s="522"/>
      <c r="N6" s="522"/>
      <c r="O6" s="522"/>
      <c r="P6" s="522"/>
      <c r="Q6" s="522"/>
      <c r="R6" s="522"/>
      <c r="S6" s="522"/>
      <c r="T6" s="522"/>
      <c r="U6" s="522"/>
      <c r="V6" s="522"/>
      <c r="W6" s="522"/>
      <c r="X6" s="522"/>
      <c r="Y6" s="522"/>
      <c r="Z6" s="522"/>
      <c r="AA6" s="522"/>
      <c r="AB6" s="522"/>
      <c r="AC6" s="522"/>
      <c r="AD6" s="522"/>
      <c r="AE6" s="522"/>
      <c r="AF6" s="522"/>
      <c r="AG6" s="522"/>
      <c r="AH6" s="522"/>
      <c r="AI6" s="523"/>
    </row>
    <row r="7" spans="1:35" s="2" customFormat="1" ht="83.5" customHeight="1" thickBot="1" x14ac:dyDescent="0.25">
      <c r="A7" s="623" t="s">
        <v>50</v>
      </c>
      <c r="B7" s="625" t="s">
        <v>116</v>
      </c>
      <c r="C7" s="627" t="s">
        <v>52</v>
      </c>
      <c r="D7" s="629" t="s">
        <v>53</v>
      </c>
      <c r="E7" s="630"/>
      <c r="F7" s="631"/>
      <c r="G7" s="688" t="s">
        <v>80</v>
      </c>
      <c r="H7" s="688" t="s">
        <v>81</v>
      </c>
      <c r="I7" s="668" t="s">
        <v>129</v>
      </c>
      <c r="J7" s="666"/>
      <c r="K7" s="666"/>
      <c r="L7" s="667"/>
      <c r="M7" s="511" t="s">
        <v>108</v>
      </c>
      <c r="N7" s="512"/>
      <c r="O7" s="512"/>
      <c r="P7" s="513"/>
      <c r="Q7" s="537" t="s">
        <v>150</v>
      </c>
      <c r="R7" s="668" t="s">
        <v>109</v>
      </c>
      <c r="S7" s="666"/>
      <c r="T7" s="666"/>
      <c r="U7" s="667"/>
      <c r="V7" s="629" t="s">
        <v>110</v>
      </c>
      <c r="W7" s="630"/>
      <c r="X7" s="630"/>
      <c r="Y7" s="631"/>
      <c r="Z7" s="636" t="s">
        <v>57</v>
      </c>
      <c r="AA7" s="637"/>
      <c r="AB7" s="637"/>
      <c r="AC7" s="638"/>
      <c r="AD7" s="661" t="s">
        <v>119</v>
      </c>
      <c r="AE7" s="662"/>
      <c r="AF7" s="662"/>
      <c r="AG7" s="663"/>
      <c r="AH7" s="314" t="s">
        <v>151</v>
      </c>
      <c r="AI7" s="315" t="s">
        <v>120</v>
      </c>
    </row>
    <row r="8" spans="1:35" s="2" customFormat="1" ht="83.5" customHeight="1" thickBot="1" x14ac:dyDescent="0.25">
      <c r="A8" s="624"/>
      <c r="B8" s="626"/>
      <c r="C8" s="628"/>
      <c r="D8" s="201" t="s">
        <v>59</v>
      </c>
      <c r="E8" s="202" t="s">
        <v>86</v>
      </c>
      <c r="F8" s="203" t="s">
        <v>87</v>
      </c>
      <c r="G8" s="689"/>
      <c r="H8" s="689"/>
      <c r="I8" s="199" t="s">
        <v>64</v>
      </c>
      <c r="J8" s="204" t="s">
        <v>88</v>
      </c>
      <c r="K8" s="204" t="s">
        <v>89</v>
      </c>
      <c r="L8" s="200" t="s">
        <v>47</v>
      </c>
      <c r="M8" s="199" t="s">
        <v>64</v>
      </c>
      <c r="N8" s="204" t="s">
        <v>88</v>
      </c>
      <c r="O8" s="204" t="s">
        <v>89</v>
      </c>
      <c r="P8" s="200" t="s">
        <v>47</v>
      </c>
      <c r="Q8" s="503" t="s">
        <v>96</v>
      </c>
      <c r="R8" s="199" t="s">
        <v>64</v>
      </c>
      <c r="S8" s="204" t="s">
        <v>88</v>
      </c>
      <c r="T8" s="204" t="s">
        <v>89</v>
      </c>
      <c r="U8" s="200" t="s">
        <v>47</v>
      </c>
      <c r="V8" s="199" t="s">
        <v>64</v>
      </c>
      <c r="W8" s="204" t="s">
        <v>88</v>
      </c>
      <c r="X8" s="204" t="s">
        <v>89</v>
      </c>
      <c r="Y8" s="200" t="s">
        <v>47</v>
      </c>
      <c r="Z8" s="199" t="s">
        <v>90</v>
      </c>
      <c r="AA8" s="204" t="s">
        <v>91</v>
      </c>
      <c r="AB8" s="204" t="s">
        <v>92</v>
      </c>
      <c r="AC8" s="200" t="s">
        <v>47</v>
      </c>
      <c r="AD8" s="199" t="s">
        <v>90</v>
      </c>
      <c r="AE8" s="205" t="s">
        <v>93</v>
      </c>
      <c r="AF8" s="204" t="s">
        <v>94</v>
      </c>
      <c r="AG8" s="204" t="s">
        <v>95</v>
      </c>
      <c r="AH8" s="204" t="s">
        <v>96</v>
      </c>
      <c r="AI8" s="200" t="s">
        <v>97</v>
      </c>
    </row>
    <row r="9" spans="1:35" ht="83.5" customHeight="1" x14ac:dyDescent="0.2">
      <c r="A9" s="246">
        <v>1</v>
      </c>
      <c r="B9" s="62"/>
      <c r="C9" s="111" t="s">
        <v>121</v>
      </c>
      <c r="D9" s="111"/>
      <c r="E9" s="111"/>
      <c r="F9" s="111"/>
      <c r="G9" s="112"/>
      <c r="H9" s="113"/>
      <c r="I9" s="317">
        <v>0</v>
      </c>
      <c r="J9" s="10">
        <v>0</v>
      </c>
      <c r="K9" s="318">
        <f>Info[[#This Row],[Column7]]-Info[[#This Row],[Column8]]</f>
        <v>0</v>
      </c>
      <c r="L9" s="319">
        <f>IFERROR(Info[[#This Row],[Column8]]/Info[[#This Row],[Column7]],0)</f>
        <v>0</v>
      </c>
      <c r="M9" s="317">
        <v>0</v>
      </c>
      <c r="N9" s="10">
        <v>0</v>
      </c>
      <c r="O9" s="369">
        <f>Info[[#This Row],[Column10]]-Info[[#This Row],[Column11]]</f>
        <v>0</v>
      </c>
      <c r="P9" s="370">
        <f>IFERROR(N9/M9,0)</f>
        <v>0</v>
      </c>
      <c r="Q9" s="370">
        <f>IFERROR(Info[[#This Row],[Column10]]/Info[[#This Row],[Column7]],0)</f>
        <v>0</v>
      </c>
      <c r="R9" s="317">
        <v>0</v>
      </c>
      <c r="S9" s="10">
        <v>0</v>
      </c>
      <c r="T9" s="318">
        <f>Info[[#This Row],[Column23]]-Info[[#This Row],[Column27]]</f>
        <v>0</v>
      </c>
      <c r="U9" s="319">
        <f>IFERROR(Info[[#This Row],[Column27]]/Info[[#This Row],[Column23]],0)</f>
        <v>0</v>
      </c>
      <c r="V9" s="317">
        <v>0</v>
      </c>
      <c r="W9" s="10">
        <v>0</v>
      </c>
      <c r="X9" s="318">
        <f>Info[[#This Row],[Column15]]-Info[[#This Row],[Column16]]</f>
        <v>0</v>
      </c>
      <c r="Y9" s="319">
        <f>IFERROR(W9/V9,0)</f>
        <v>0</v>
      </c>
      <c r="Z9" s="320">
        <v>0</v>
      </c>
      <c r="AA9" s="34">
        <v>0</v>
      </c>
      <c r="AB9" s="321">
        <f>Info[[#This Row],[Column19]]-Info[[#This Row],[Column20]]</f>
        <v>0</v>
      </c>
      <c r="AC9" s="322">
        <f>IFERROR(AA9/Z9,0)</f>
        <v>0</v>
      </c>
      <c r="AD9" s="323">
        <v>0</v>
      </c>
      <c r="AE9" s="324">
        <v>0</v>
      </c>
      <c r="AF9" s="321">
        <f>Info[[#This Row],[Column24]]-Info[[#This Row],[Column30]]</f>
        <v>0</v>
      </c>
      <c r="AG9" s="322">
        <f>IFERROR(Info[[#This Row],[Column30]]/Info[[#This Row],[Column24]],0)</f>
        <v>0</v>
      </c>
      <c r="AH9" s="35">
        <f>IFERROR(Info[[#This Row],[Column24]]/Info[[#This Row],[Column19]],0)</f>
        <v>0</v>
      </c>
      <c r="AI9" s="325"/>
    </row>
    <row r="10" spans="1:35" ht="83.5" customHeight="1" x14ac:dyDescent="0.2">
      <c r="A10" s="246">
        <v>2</v>
      </c>
      <c r="B10" s="62"/>
      <c r="C10" s="111" t="s">
        <v>121</v>
      </c>
      <c r="D10" s="111"/>
      <c r="E10" s="111"/>
      <c r="F10" s="111"/>
      <c r="G10" s="126"/>
      <c r="H10" s="127"/>
      <c r="I10" s="118">
        <v>0</v>
      </c>
      <c r="J10" s="119">
        <v>0</v>
      </c>
      <c r="K10" s="120">
        <f>Info[[#This Row],[Column7]]-Info[[#This Row],[Column8]]</f>
        <v>0</v>
      </c>
      <c r="L10" s="81">
        <f>IFERROR(Info[[#This Row],[Column8]]/Info[[#This Row],[Column7]],0)</f>
        <v>0</v>
      </c>
      <c r="M10" s="118">
        <v>0</v>
      </c>
      <c r="N10" s="119">
        <v>0</v>
      </c>
      <c r="O10" s="253">
        <f>Info[[#This Row],[Column10]]-Info[[#This Row],[Column11]]</f>
        <v>0</v>
      </c>
      <c r="P10" s="254">
        <f t="shared" ref="P10:P12" si="0">IFERROR(N10/M10,0)</f>
        <v>0</v>
      </c>
      <c r="Q10" s="254">
        <f>IFERROR(Info[[#This Row],[Column10]]/Info[[#This Row],[Column7]],0)</f>
        <v>0</v>
      </c>
      <c r="R10" s="118">
        <v>0</v>
      </c>
      <c r="S10" s="119">
        <v>0</v>
      </c>
      <c r="T10" s="120">
        <f>Info[[#This Row],[Column23]]-Info[[#This Row],[Column27]]</f>
        <v>0</v>
      </c>
      <c r="U10" s="81">
        <f>IFERROR(Info[[#This Row],[Column27]]/Info[[#This Row],[Column23]],0)</f>
        <v>0</v>
      </c>
      <c r="V10" s="118">
        <v>0</v>
      </c>
      <c r="W10" s="119">
        <v>0</v>
      </c>
      <c r="X10" s="120">
        <f>Info[[#This Row],[Column15]]-Info[[#This Row],[Column16]]</f>
        <v>0</v>
      </c>
      <c r="Y10" s="81">
        <f>IFERROR(W12/V12,0)</f>
        <v>0</v>
      </c>
      <c r="Z10" s="121">
        <v>0</v>
      </c>
      <c r="AA10" s="122">
        <v>0</v>
      </c>
      <c r="AB10" s="123">
        <f>Info[[#This Row],[Column19]]-Info[[#This Row],[Column20]]</f>
        <v>0</v>
      </c>
      <c r="AC10" s="82">
        <f t="shared" ref="AC10:AC12" si="1">IFERROR(AA10/Z10,0)</f>
        <v>0</v>
      </c>
      <c r="AD10" s="124">
        <v>0</v>
      </c>
      <c r="AE10" s="125">
        <v>0</v>
      </c>
      <c r="AF10" s="123">
        <f>Info[[#This Row],[Column24]]-Info[[#This Row],[Column30]]</f>
        <v>0</v>
      </c>
      <c r="AG10" s="82">
        <f>IFERROR(Info[[#This Row],[Column30]]/Info[[#This Row],[Column24]],0)</f>
        <v>0</v>
      </c>
      <c r="AH10" s="6">
        <f>IFERROR(Info[[#This Row],[Column24]]/Info[[#This Row],[Column19]],0)</f>
        <v>0</v>
      </c>
      <c r="AI10" s="130"/>
    </row>
    <row r="11" spans="1:35" ht="83.5" customHeight="1" x14ac:dyDescent="0.2">
      <c r="A11" s="246">
        <v>3</v>
      </c>
      <c r="B11" s="62"/>
      <c r="C11" s="111" t="s">
        <v>121</v>
      </c>
      <c r="D11" s="111"/>
      <c r="E11" s="111"/>
      <c r="F11" s="111"/>
      <c r="G11" s="126"/>
      <c r="H11" s="127"/>
      <c r="I11" s="118">
        <v>0</v>
      </c>
      <c r="J11" s="119">
        <v>0</v>
      </c>
      <c r="K11" s="120">
        <f>Info[[#This Row],[Column7]]-Info[[#This Row],[Column8]]</f>
        <v>0</v>
      </c>
      <c r="L11" s="81">
        <f>IFERROR(Info[[#This Row],[Column8]]/Info[[#This Row],[Column7]],0)</f>
        <v>0</v>
      </c>
      <c r="M11" s="118">
        <v>0</v>
      </c>
      <c r="N11" s="119">
        <v>0</v>
      </c>
      <c r="O11" s="253">
        <f>Info[[#This Row],[Column10]]-Info[[#This Row],[Column11]]</f>
        <v>0</v>
      </c>
      <c r="P11" s="254">
        <f t="shared" si="0"/>
        <v>0</v>
      </c>
      <c r="Q11" s="254">
        <f>IFERROR(Info[[#This Row],[Column10]]/Info[[#This Row],[Column7]],0)</f>
        <v>0</v>
      </c>
      <c r="R11" s="118">
        <v>0</v>
      </c>
      <c r="S11" s="119">
        <v>0</v>
      </c>
      <c r="T11" s="120">
        <f>Info[[#This Row],[Column23]]-Info[[#This Row],[Column27]]</f>
        <v>0</v>
      </c>
      <c r="U11" s="81">
        <f>IFERROR(Info[[#This Row],[Column27]]/Info[[#This Row],[Column23]],0)</f>
        <v>0</v>
      </c>
      <c r="V11" s="118">
        <v>0</v>
      </c>
      <c r="W11" s="119">
        <v>0</v>
      </c>
      <c r="X11" s="120">
        <f>Info[[#This Row],[Column15]]-Info[[#This Row],[Column16]]</f>
        <v>0</v>
      </c>
      <c r="Y11" s="81">
        <f>IFERROR(W11/V11,0)</f>
        <v>0</v>
      </c>
      <c r="Z11" s="121">
        <v>0</v>
      </c>
      <c r="AA11" s="122">
        <v>0</v>
      </c>
      <c r="AB11" s="123">
        <f>Info[[#This Row],[Column19]]-Info[[#This Row],[Column20]]</f>
        <v>0</v>
      </c>
      <c r="AC11" s="82">
        <f t="shared" si="1"/>
        <v>0</v>
      </c>
      <c r="AD11" s="124">
        <v>0</v>
      </c>
      <c r="AE11" s="125">
        <v>0</v>
      </c>
      <c r="AF11" s="123">
        <f>Info[[#This Row],[Column24]]-Info[[#This Row],[Column30]]</f>
        <v>0</v>
      </c>
      <c r="AG11" s="82">
        <f>IFERROR(Info[[#This Row],[Column30]]/Info[[#This Row],[Column24]],0)</f>
        <v>0</v>
      </c>
      <c r="AH11" s="6">
        <f>IFERROR(Info[[#This Row],[Column24]]/Info[[#This Row],[Column19]],0)</f>
        <v>0</v>
      </c>
      <c r="AI11" s="36"/>
    </row>
    <row r="12" spans="1:35" ht="73" thickBot="1" x14ac:dyDescent="0.25">
      <c r="A12" s="246">
        <v>4</v>
      </c>
      <c r="B12" s="62"/>
      <c r="C12" s="111" t="s">
        <v>121</v>
      </c>
      <c r="D12" s="111"/>
      <c r="E12" s="111"/>
      <c r="F12" s="111"/>
      <c r="G12" s="131"/>
      <c r="H12" s="132"/>
      <c r="I12" s="137">
        <v>0</v>
      </c>
      <c r="J12" s="75">
        <v>0</v>
      </c>
      <c r="K12" s="138">
        <f>Info[[#This Row],[Column7]]-Info[[#This Row],[Column8]]</f>
        <v>0</v>
      </c>
      <c r="L12" s="83">
        <f>IFERROR(Info[[#This Row],[Column8]]/Info[[#This Row],[Column7]],0)</f>
        <v>0</v>
      </c>
      <c r="M12" s="137">
        <v>0</v>
      </c>
      <c r="N12" s="75">
        <v>0</v>
      </c>
      <c r="O12" s="368">
        <f>Info[[#This Row],[Column10]]-Info[[#This Row],[Column11]]</f>
        <v>0</v>
      </c>
      <c r="P12" s="255">
        <f t="shared" si="0"/>
        <v>0</v>
      </c>
      <c r="Q12" s="255">
        <f>IFERROR(Info[[#This Row],[Column10]]/Info[[#This Row],[Column7]],0)</f>
        <v>0</v>
      </c>
      <c r="R12" s="137">
        <v>0</v>
      </c>
      <c r="S12" s="75">
        <v>0</v>
      </c>
      <c r="T12" s="138">
        <f>Info[[#This Row],[Column23]]-Info[[#This Row],[Column27]]</f>
        <v>0</v>
      </c>
      <c r="U12" s="83">
        <f>IFERROR(Info[[#This Row],[Column27]]/Info[[#This Row],[Column23]],0)</f>
        <v>0</v>
      </c>
      <c r="V12" s="137">
        <v>0</v>
      </c>
      <c r="W12" s="75">
        <v>0</v>
      </c>
      <c r="X12" s="138">
        <f>Info[[#This Row],[Column15]]-Info[[#This Row],[Column16]]</f>
        <v>0</v>
      </c>
      <c r="Y12" s="83">
        <f>IFERROR(W12/V12,0)</f>
        <v>0</v>
      </c>
      <c r="Z12" s="139">
        <v>0</v>
      </c>
      <c r="AA12" s="140">
        <v>0</v>
      </c>
      <c r="AB12" s="141">
        <f>Info[[#This Row],[Column19]]-Info[[#This Row],[Column20]]</f>
        <v>0</v>
      </c>
      <c r="AC12" s="84">
        <f t="shared" si="1"/>
        <v>0</v>
      </c>
      <c r="AD12" s="142">
        <v>0</v>
      </c>
      <c r="AE12" s="143">
        <v>0</v>
      </c>
      <c r="AF12" s="141">
        <f>Info[[#This Row],[Column24]]-Info[[#This Row],[Column30]]</f>
        <v>0</v>
      </c>
      <c r="AG12" s="84">
        <f>IFERROR(Info[[#This Row],[Column30]]/Info[[#This Row],[Column24]],0)</f>
        <v>0</v>
      </c>
      <c r="AH12" s="144">
        <f>IFERROR(Info[[#This Row],[Column24]]/Info[[#This Row],[Column19]],0)</f>
        <v>0</v>
      </c>
      <c r="AI12" s="85"/>
    </row>
    <row r="13" spans="1:35" ht="83.5" customHeight="1" thickBot="1" x14ac:dyDescent="0.25">
      <c r="A13" s="280"/>
      <c r="B13" s="294"/>
      <c r="C13" s="295"/>
      <c r="D13" s="296" t="s">
        <v>70</v>
      </c>
      <c r="E13" s="302"/>
      <c r="F13" s="303"/>
      <c r="G13" s="304"/>
      <c r="H13" s="305"/>
      <c r="I13" s="298">
        <f>SUBTOTAL(109,Info[Column7])</f>
        <v>0</v>
      </c>
      <c r="J13" s="297">
        <f>SUBTOTAL(109,Info[Column8])</f>
        <v>0</v>
      </c>
      <c r="K13" s="297">
        <f>SUBTOTAL(109,Info[Column9])</f>
        <v>0</v>
      </c>
      <c r="L13" s="290">
        <f>IFERROR(Info[[#Totals],[Column8]]/Info[[#Totals],[Column7]],0)</f>
        <v>0</v>
      </c>
      <c r="M13" s="298">
        <f>SUBTOTAL(109,Info[Column10])</f>
        <v>0</v>
      </c>
      <c r="N13" s="297">
        <f>SUBTOTAL(109,Info[Column11])</f>
        <v>0</v>
      </c>
      <c r="O13" s="297">
        <f>SUBTOTAL(109,Info[Column12])</f>
        <v>0</v>
      </c>
      <c r="P13" s="290">
        <f>IFERROR(Info[[#Totals],[Column11]]/Info[[#Totals],[Column10]],0)</f>
        <v>0</v>
      </c>
      <c r="Q13" s="290">
        <f>IFERROR(Info[[#Totals],[Column10]]/Info[[#Totals],[Column7]],0)</f>
        <v>0</v>
      </c>
      <c r="R13" s="298">
        <f>SUBTOTAL(109,Info[Column23])</f>
        <v>0</v>
      </c>
      <c r="S13" s="294">
        <f>SUBTOTAL(109,Info[Column27])</f>
        <v>0</v>
      </c>
      <c r="T13" s="294">
        <f>SUBTOTAL(109,Info[Column28])</f>
        <v>0</v>
      </c>
      <c r="U13" s="290">
        <f>IFERROR(Info[[#Totals],[Column27]]/Info[[#Totals],[Column23]],0)</f>
        <v>0</v>
      </c>
      <c r="V13" s="298">
        <f>SUBTOTAL(109,Info[Column15])</f>
        <v>0</v>
      </c>
      <c r="W13" s="294">
        <f>SUBTOTAL(109,Info[Column16])</f>
        <v>0</v>
      </c>
      <c r="X13" s="294">
        <f>SUBTOTAL(109,Info[Column17])</f>
        <v>0</v>
      </c>
      <c r="Y13" s="290">
        <f>IFERROR(Info[[#Totals],[Column16]]/Info[[#Totals],[Column15]],0)</f>
        <v>0</v>
      </c>
      <c r="Z13" s="299">
        <f>SUBTOTAL(109,Info[Column19])</f>
        <v>0</v>
      </c>
      <c r="AA13" s="300">
        <f>SUBTOTAL(109,Info[Column20])</f>
        <v>0</v>
      </c>
      <c r="AB13" s="300">
        <f>SUBTOTAL(109,Info[Column21])</f>
        <v>0</v>
      </c>
      <c r="AC13" s="290">
        <f>IFERROR(Info[[#Totals],[Column20]]/Info[[#Totals],[Column19]],0)</f>
        <v>0</v>
      </c>
      <c r="AD13" s="299">
        <f>SUBTOTAL(109,Info[Column24])</f>
        <v>0</v>
      </c>
      <c r="AE13" s="301">
        <f>SUBTOTAL(109,Info[Column30])</f>
        <v>0</v>
      </c>
      <c r="AF13" s="300">
        <f>SUBTOTAL(109,Info[Column29])</f>
        <v>0</v>
      </c>
      <c r="AG13" s="339">
        <f>IFERROR(Info[[#Totals],[Column30]]/Info[[#Totals],[Column24]],0)</f>
        <v>0</v>
      </c>
      <c r="AH13" s="341">
        <f>IFERROR(Info[[#Totals],[Column24]]/Info[[#Totals],[Column19]],0)</f>
        <v>0</v>
      </c>
      <c r="AI13" s="303"/>
    </row>
    <row r="14" spans="1:35" ht="18" thickBot="1" x14ac:dyDescent="0.25">
      <c r="A14" s="332" t="s">
        <v>122</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7"/>
    </row>
  </sheetData>
  <sheetProtection formatCells="0" formatRows="0" insertRows="0" deleteRows="0" sort="0" autoFilter="0" pivotTables="0"/>
  <mergeCells count="11">
    <mergeCell ref="AD7:AG7"/>
    <mergeCell ref="I7:L7"/>
    <mergeCell ref="R7:U7"/>
    <mergeCell ref="V7:Y7"/>
    <mergeCell ref="Z7:AC7"/>
    <mergeCell ref="H7:H8"/>
    <mergeCell ref="A7:A8"/>
    <mergeCell ref="B7:B8"/>
    <mergeCell ref="C7:C8"/>
    <mergeCell ref="D7:F7"/>
    <mergeCell ref="G7:G8"/>
  </mergeCells>
  <dataValidations count="3">
    <dataValidation allowBlank="1" showInputMessage="1" showErrorMessage="1" prompt="Please fill in the cell with text" sqref="B9:F12" xr:uid="{8377E93C-0513-47C5-9A0D-EED8FDA564C6}"/>
    <dataValidation type="decimal" allowBlank="1" showInputMessage="1" showErrorMessage="1" prompt="Input only numbers" sqref="I9:J12 M9:N12 R9:S12 V9:W12 Z9:AA12 AD9:AE12" xr:uid="{353917A1-785B-4F1A-8F5B-0EE5765A4E01}">
      <formula1>0</formula1>
      <formula2>1000000000000</formula2>
    </dataValidation>
    <dataValidation type="custom" allowBlank="1" showInputMessage="1" showErrorMessage="1" errorTitle="NOTICE!" error="Please don't input any value in this cell, there is formula" promptTitle="NOTICE!" prompt="Please don't input any value in this cell, there is formula" sqref="K9:L12 O9:Q12 T9:U12 X9:Y12 AB9:AC12 AF9:AG12" xr:uid="{C286E030-8250-4DAF-8472-01718726CB96}">
      <formula1>"Please don't input any value in this cell, there is formula"</formula1>
    </dataValidation>
  </dataValidations>
  <pageMargins left="0.7" right="0.7" top="0.75" bottom="0.75" header="0.3" footer="0.3"/>
  <pageSetup paperSize="9" orientation="portrait" verticalDpi="4294967295"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E7C-90F7-45A2-B4E7-E38A3E9DED25}">
  <dimension ref="A1:AI14"/>
  <sheetViews>
    <sheetView view="pageBreakPreview" topLeftCell="B6" zoomScale="40" zoomScaleNormal="55" zoomScaleSheetLayoutView="40" workbookViewId="0">
      <selection activeCell="L35" sqref="L35"/>
    </sheetView>
  </sheetViews>
  <sheetFormatPr baseColWidth="10" defaultColWidth="8.6640625" defaultRowHeight="17" x14ac:dyDescent="0.2"/>
  <cols>
    <col min="1" max="1" width="13.5" style="2" customWidth="1"/>
    <col min="2" max="2" width="32.33203125" style="2" customWidth="1"/>
    <col min="3" max="3" width="33.5" style="2" customWidth="1"/>
    <col min="4" max="4" width="29.5" style="2" customWidth="1"/>
    <col min="5" max="6" width="27.33203125" style="2" customWidth="1"/>
    <col min="7" max="8" width="36.1640625" style="2" customWidth="1"/>
    <col min="9" max="12" width="11.5" style="2" customWidth="1"/>
    <col min="13" max="21" width="14.83203125" style="2" customWidth="1"/>
    <col min="22" max="22" width="20.33203125" style="2" customWidth="1"/>
    <col min="23" max="25" width="14.83203125" style="2" customWidth="1"/>
    <col min="26" max="28" width="15.1640625" style="2" customWidth="1"/>
    <col min="29" max="29" width="14.83203125" style="2" customWidth="1"/>
    <col min="30" max="30" width="33.5" style="2" customWidth="1"/>
    <col min="31" max="33" width="21" style="2" customWidth="1"/>
    <col min="34" max="34" width="27" style="2" customWidth="1"/>
    <col min="35" max="35" width="14.83203125" style="2" customWidth="1"/>
    <col min="36" max="16384" width="8.6640625" style="102"/>
  </cols>
  <sheetData>
    <row r="1" spans="1:35" ht="18" hidden="1" thickBot="1" x14ac:dyDescent="0.25">
      <c r="B1" s="3" t="s">
        <v>123</v>
      </c>
    </row>
    <row r="2" spans="1:35" hidden="1" x14ac:dyDescent="0.2">
      <c r="B2" s="26" t="s">
        <v>40</v>
      </c>
      <c r="C2" s="238">
        <f>'#1'!C2</f>
        <v>0</v>
      </c>
      <c r="D2" s="25" t="s">
        <v>41</v>
      </c>
      <c r="E2" s="239">
        <f>'#2'!E2</f>
        <v>0</v>
      </c>
      <c r="F2" s="105"/>
    </row>
    <row r="3" spans="1:35" hidden="1" x14ac:dyDescent="0.2">
      <c r="B3" s="106" t="s">
        <v>42</v>
      </c>
      <c r="C3" s="240">
        <f>'#1'!C3</f>
        <v>0</v>
      </c>
      <c r="D3" s="105" t="s">
        <v>43</v>
      </c>
      <c r="E3" s="241">
        <f>'#2'!E3</f>
        <v>0</v>
      </c>
      <c r="F3" s="105"/>
    </row>
    <row r="4" spans="1:35" ht="35" hidden="1" thickBot="1" x14ac:dyDescent="0.25">
      <c r="B4" s="13" t="s">
        <v>44</v>
      </c>
      <c r="C4" s="108">
        <f>'#1'!C4</f>
        <v>0</v>
      </c>
      <c r="D4" s="109" t="s">
        <v>45</v>
      </c>
      <c r="E4" s="242">
        <f>'#2'!E4</f>
        <v>0</v>
      </c>
      <c r="F4" s="15"/>
    </row>
    <row r="5" spans="1:35" ht="18" hidden="1" thickBot="1" x14ac:dyDescent="0.25"/>
    <row r="6" spans="1:35" s="2" customFormat="1" ht="83.5" customHeight="1" thickBot="1" x14ac:dyDescent="0.25">
      <c r="A6" s="525" t="s">
        <v>135</v>
      </c>
      <c r="B6" s="522"/>
      <c r="C6" s="522"/>
      <c r="D6" s="522"/>
      <c r="E6" s="522"/>
      <c r="F6" s="522"/>
      <c r="G6" s="522"/>
      <c r="H6" s="522"/>
      <c r="I6" s="522"/>
      <c r="J6" s="522"/>
      <c r="K6" s="522"/>
      <c r="L6" s="522"/>
      <c r="M6" s="522"/>
      <c r="N6" s="522"/>
      <c r="O6" s="522"/>
      <c r="P6" s="522"/>
      <c r="Q6" s="522"/>
      <c r="R6" s="522"/>
      <c r="S6" s="522"/>
      <c r="T6" s="522"/>
      <c r="U6" s="522"/>
      <c r="V6" s="522"/>
      <c r="W6" s="522"/>
      <c r="X6" s="522"/>
      <c r="Y6" s="522"/>
      <c r="Z6" s="522"/>
      <c r="AA6" s="522"/>
      <c r="AB6" s="522"/>
      <c r="AC6" s="522"/>
      <c r="AD6" s="522"/>
      <c r="AE6" s="522"/>
      <c r="AF6" s="522"/>
      <c r="AG6" s="522"/>
      <c r="AH6" s="522"/>
      <c r="AI6" s="523"/>
    </row>
    <row r="7" spans="1:35" s="2" customFormat="1" ht="83.5" customHeight="1" thickBot="1" x14ac:dyDescent="0.25">
      <c r="A7" s="623" t="s">
        <v>50</v>
      </c>
      <c r="B7" s="625" t="s">
        <v>116</v>
      </c>
      <c r="C7" s="627" t="s">
        <v>52</v>
      </c>
      <c r="D7" s="629" t="s">
        <v>53</v>
      </c>
      <c r="E7" s="630"/>
      <c r="F7" s="631"/>
      <c r="G7" s="632" t="s">
        <v>80</v>
      </c>
      <c r="H7" s="664" t="s">
        <v>81</v>
      </c>
      <c r="I7" s="668" t="s">
        <v>129</v>
      </c>
      <c r="J7" s="666"/>
      <c r="K7" s="666"/>
      <c r="L7" s="667"/>
      <c r="M7" s="511" t="s">
        <v>108</v>
      </c>
      <c r="N7" s="512"/>
      <c r="O7" s="512"/>
      <c r="P7" s="513"/>
      <c r="Q7" s="537" t="s">
        <v>150</v>
      </c>
      <c r="R7" s="668" t="s">
        <v>109</v>
      </c>
      <c r="S7" s="666"/>
      <c r="T7" s="666"/>
      <c r="U7" s="667"/>
      <c r="V7" s="629" t="s">
        <v>110</v>
      </c>
      <c r="W7" s="630"/>
      <c r="X7" s="630"/>
      <c r="Y7" s="631"/>
      <c r="Z7" s="636" t="s">
        <v>57</v>
      </c>
      <c r="AA7" s="637"/>
      <c r="AB7" s="637"/>
      <c r="AC7" s="638"/>
      <c r="AD7" s="661" t="s">
        <v>119</v>
      </c>
      <c r="AE7" s="662"/>
      <c r="AF7" s="662"/>
      <c r="AG7" s="663"/>
      <c r="AH7" s="314" t="s">
        <v>151</v>
      </c>
      <c r="AI7" s="315" t="s">
        <v>120</v>
      </c>
    </row>
    <row r="8" spans="1:35" s="2" customFormat="1" ht="83.5" customHeight="1" thickBot="1" x14ac:dyDescent="0.25">
      <c r="A8" s="624"/>
      <c r="B8" s="626"/>
      <c r="C8" s="628"/>
      <c r="D8" s="201" t="s">
        <v>59</v>
      </c>
      <c r="E8" s="202" t="s">
        <v>86</v>
      </c>
      <c r="F8" s="203" t="s">
        <v>87</v>
      </c>
      <c r="G8" s="633"/>
      <c r="H8" s="665"/>
      <c r="I8" s="199" t="s">
        <v>64</v>
      </c>
      <c r="J8" s="204" t="s">
        <v>88</v>
      </c>
      <c r="K8" s="204" t="s">
        <v>89</v>
      </c>
      <c r="L8" s="200" t="s">
        <v>47</v>
      </c>
      <c r="M8" s="199" t="s">
        <v>64</v>
      </c>
      <c r="N8" s="204" t="s">
        <v>88</v>
      </c>
      <c r="O8" s="204" t="s">
        <v>89</v>
      </c>
      <c r="P8" s="200" t="s">
        <v>47</v>
      </c>
      <c r="Q8" s="503" t="s">
        <v>96</v>
      </c>
      <c r="R8" s="199" t="s">
        <v>64</v>
      </c>
      <c r="S8" s="204" t="s">
        <v>88</v>
      </c>
      <c r="T8" s="204" t="s">
        <v>89</v>
      </c>
      <c r="U8" s="200" t="s">
        <v>47</v>
      </c>
      <c r="V8" s="199" t="s">
        <v>64</v>
      </c>
      <c r="W8" s="204" t="s">
        <v>88</v>
      </c>
      <c r="X8" s="204" t="s">
        <v>89</v>
      </c>
      <c r="Y8" s="200" t="s">
        <v>47</v>
      </c>
      <c r="Z8" s="199" t="s">
        <v>90</v>
      </c>
      <c r="AA8" s="204" t="s">
        <v>91</v>
      </c>
      <c r="AB8" s="204" t="s">
        <v>92</v>
      </c>
      <c r="AC8" s="200" t="s">
        <v>47</v>
      </c>
      <c r="AD8" s="199" t="s">
        <v>90</v>
      </c>
      <c r="AE8" s="205" t="s">
        <v>93</v>
      </c>
      <c r="AF8" s="204" t="s">
        <v>94</v>
      </c>
      <c r="AG8" s="204" t="s">
        <v>95</v>
      </c>
      <c r="AH8" s="204" t="s">
        <v>96</v>
      </c>
      <c r="AI8" s="200" t="s">
        <v>97</v>
      </c>
    </row>
    <row r="9" spans="1:35" ht="83.5" customHeight="1" x14ac:dyDescent="0.2">
      <c r="A9" s="246">
        <v>1</v>
      </c>
      <c r="B9" s="62"/>
      <c r="C9" s="111" t="s">
        <v>121</v>
      </c>
      <c r="D9" s="111"/>
      <c r="E9" s="111"/>
      <c r="F9" s="111"/>
      <c r="G9" s="112"/>
      <c r="H9" s="113"/>
      <c r="I9" s="317">
        <v>0</v>
      </c>
      <c r="J9" s="10">
        <v>0</v>
      </c>
      <c r="K9" s="318">
        <f>Mar[[#This Row],[Column7]]-Mar[[#This Row],[Column8]]</f>
        <v>0</v>
      </c>
      <c r="L9" s="319">
        <f>IFERROR(J9/I9,0)</f>
        <v>0</v>
      </c>
      <c r="M9" s="317">
        <v>0</v>
      </c>
      <c r="N9" s="10">
        <v>0</v>
      </c>
      <c r="O9" s="318">
        <f>Mar[[#This Row],[Column10]]-Mar[[#This Row],[Column11]]</f>
        <v>0</v>
      </c>
      <c r="P9" s="319">
        <f>IFERROR(N9/M9,0)</f>
        <v>0</v>
      </c>
      <c r="Q9" s="319">
        <f>IFERROR(Mar[[#This Row],[Column10]]/Mar[[#This Row],[Column7]],0)</f>
        <v>0</v>
      </c>
      <c r="R9" s="317">
        <v>0</v>
      </c>
      <c r="S9" s="10">
        <v>0</v>
      </c>
      <c r="T9" s="318">
        <f>Mar[[#This Row],[Column23]]-Mar[[#This Row],[Column27]]</f>
        <v>0</v>
      </c>
      <c r="U9" s="319">
        <f>IFERROR(Mar[[#This Row],[Column27]]/Mar[[#This Row],[Column23]],0)</f>
        <v>0</v>
      </c>
      <c r="V9" s="317">
        <v>0</v>
      </c>
      <c r="W9" s="10">
        <v>0</v>
      </c>
      <c r="X9" s="318">
        <f>Mar[[#This Row],[Column15]]-Mar[[#This Row],[Column16]]</f>
        <v>0</v>
      </c>
      <c r="Y9" s="319">
        <f>IFERROR(W9/V9,0)</f>
        <v>0</v>
      </c>
      <c r="Z9" s="320">
        <v>0</v>
      </c>
      <c r="AA9" s="34">
        <v>0</v>
      </c>
      <c r="AB9" s="321">
        <f>Mar[[#This Row],[Column19]]-Mar[[#This Row],[Column20]]</f>
        <v>0</v>
      </c>
      <c r="AC9" s="322">
        <f>IFERROR(AA9/Z9,0)</f>
        <v>0</v>
      </c>
      <c r="AD9" s="323">
        <v>0</v>
      </c>
      <c r="AE9" s="324">
        <v>0</v>
      </c>
      <c r="AF9" s="321">
        <f>Mar[[#This Row],[Column24]]-Mar[[#This Row],[Column30]]</f>
        <v>0</v>
      </c>
      <c r="AG9" s="322">
        <f>IFERROR(Mar[[#This Row],[Column30]]/Mar[[#This Row],[Column24]],0)</f>
        <v>0</v>
      </c>
      <c r="AH9" s="35">
        <f>IFERROR(Mar[[#This Row],[Column24]]/Mar[[#This Row],[Column19]],0)</f>
        <v>0</v>
      </c>
      <c r="AI9" s="325"/>
    </row>
    <row r="10" spans="1:35" ht="83.5" customHeight="1" x14ac:dyDescent="0.2">
      <c r="A10" s="246">
        <v>2</v>
      </c>
      <c r="B10" s="62"/>
      <c r="C10" s="111" t="s">
        <v>121</v>
      </c>
      <c r="D10" s="111"/>
      <c r="E10" s="111"/>
      <c r="F10" s="111"/>
      <c r="G10" s="126"/>
      <c r="H10" s="127"/>
      <c r="I10" s="118">
        <v>0</v>
      </c>
      <c r="J10" s="119">
        <v>0</v>
      </c>
      <c r="K10" s="120">
        <f>Mar[[#This Row],[Column7]]-Mar[[#This Row],[Column8]]</f>
        <v>0</v>
      </c>
      <c r="L10" s="81">
        <f t="shared" ref="L10:L12" si="0">IFERROR(J10/I10,0)</f>
        <v>0</v>
      </c>
      <c r="M10" s="118">
        <v>0</v>
      </c>
      <c r="N10" s="119">
        <v>0</v>
      </c>
      <c r="O10" s="120">
        <f>Mar[[#This Row],[Column10]]-Mar[[#This Row],[Column11]]</f>
        <v>0</v>
      </c>
      <c r="P10" s="81">
        <f t="shared" ref="P10:P12" si="1">IFERROR(N10/M10,0)</f>
        <v>0</v>
      </c>
      <c r="Q10" s="81">
        <f>IFERROR(Mar[[#This Row],[Column10]]/Mar[[#This Row],[Column7]],0)</f>
        <v>0</v>
      </c>
      <c r="R10" s="118">
        <v>0</v>
      </c>
      <c r="S10" s="119">
        <v>0</v>
      </c>
      <c r="T10" s="120">
        <f>Mar[[#This Row],[Column23]]-Mar[[#This Row],[Column27]]</f>
        <v>0</v>
      </c>
      <c r="U10" s="81">
        <f>IFERROR(Mar[[#This Row],[Column27]]/Mar[[#This Row],[Column23]],0)</f>
        <v>0</v>
      </c>
      <c r="V10" s="118">
        <v>0</v>
      </c>
      <c r="W10" s="119">
        <v>0</v>
      </c>
      <c r="X10" s="120">
        <f>Mar[[#This Row],[Column15]]-Mar[[#This Row],[Column16]]</f>
        <v>0</v>
      </c>
      <c r="Y10" s="81">
        <f>IFERROR(W12/V12,0)</f>
        <v>0</v>
      </c>
      <c r="Z10" s="121">
        <v>0</v>
      </c>
      <c r="AA10" s="122">
        <v>0</v>
      </c>
      <c r="AB10" s="123">
        <f>Mar[[#This Row],[Column19]]-Mar[[#This Row],[Column20]]</f>
        <v>0</v>
      </c>
      <c r="AC10" s="82">
        <f t="shared" ref="AC10:AC12" si="2">IFERROR(AA10/Z10,0)</f>
        <v>0</v>
      </c>
      <c r="AD10" s="124">
        <v>0</v>
      </c>
      <c r="AE10" s="125">
        <v>0</v>
      </c>
      <c r="AF10" s="123">
        <f>Mar[[#This Row],[Column24]]-Mar[[#This Row],[Column30]]</f>
        <v>0</v>
      </c>
      <c r="AG10" s="82">
        <f>IFERROR(Mar[[#This Row],[Column30]]/Mar[[#This Row],[Column24]],0)</f>
        <v>0</v>
      </c>
      <c r="AH10" s="6">
        <f>IFERROR(Mar[[#This Row],[Column24]]/Mar[[#This Row],[Column19]],0)</f>
        <v>0</v>
      </c>
      <c r="AI10" s="130"/>
    </row>
    <row r="11" spans="1:35" ht="83.5" customHeight="1" x14ac:dyDescent="0.2">
      <c r="A11" s="246">
        <v>3</v>
      </c>
      <c r="B11" s="62"/>
      <c r="C11" s="111" t="s">
        <v>121</v>
      </c>
      <c r="D11" s="111"/>
      <c r="E11" s="111"/>
      <c r="F11" s="111"/>
      <c r="G11" s="126"/>
      <c r="H11" s="127"/>
      <c r="I11" s="118">
        <v>0</v>
      </c>
      <c r="J11" s="119">
        <v>0</v>
      </c>
      <c r="K11" s="120">
        <f>Mar[[#This Row],[Column7]]-Mar[[#This Row],[Column8]]</f>
        <v>0</v>
      </c>
      <c r="L11" s="81">
        <f t="shared" si="0"/>
        <v>0</v>
      </c>
      <c r="M11" s="118">
        <v>0</v>
      </c>
      <c r="N11" s="119">
        <v>0</v>
      </c>
      <c r="O11" s="120">
        <f>Mar[[#This Row],[Column10]]-Mar[[#This Row],[Column11]]</f>
        <v>0</v>
      </c>
      <c r="P11" s="81">
        <f t="shared" si="1"/>
        <v>0</v>
      </c>
      <c r="Q11" s="81">
        <f>IFERROR(Mar[[#This Row],[Column10]]/Mar[[#This Row],[Column7]],0)</f>
        <v>0</v>
      </c>
      <c r="R11" s="118">
        <v>0</v>
      </c>
      <c r="S11" s="119">
        <v>0</v>
      </c>
      <c r="T11" s="120">
        <f>Mar[[#This Row],[Column23]]-Mar[[#This Row],[Column27]]</f>
        <v>0</v>
      </c>
      <c r="U11" s="81">
        <f>IFERROR(Mar[[#This Row],[Column27]]/Mar[[#This Row],[Column23]],0)</f>
        <v>0</v>
      </c>
      <c r="V11" s="118">
        <v>0</v>
      </c>
      <c r="W11" s="119">
        <v>0</v>
      </c>
      <c r="X11" s="120">
        <f>Mar[[#This Row],[Column15]]-Mar[[#This Row],[Column16]]</f>
        <v>0</v>
      </c>
      <c r="Y11" s="81">
        <f>IFERROR(W11/V11,0)</f>
        <v>0</v>
      </c>
      <c r="Z11" s="121">
        <v>0</v>
      </c>
      <c r="AA11" s="122">
        <v>0</v>
      </c>
      <c r="AB11" s="123">
        <f>Mar[[#This Row],[Column19]]-Mar[[#This Row],[Column20]]</f>
        <v>0</v>
      </c>
      <c r="AC11" s="82">
        <f t="shared" si="2"/>
        <v>0</v>
      </c>
      <c r="AD11" s="124">
        <v>0</v>
      </c>
      <c r="AE11" s="125">
        <v>0</v>
      </c>
      <c r="AF11" s="123">
        <f>Mar[[#This Row],[Column24]]-Mar[[#This Row],[Column30]]</f>
        <v>0</v>
      </c>
      <c r="AG11" s="82">
        <f>IFERROR(Mar[[#This Row],[Column30]]/Mar[[#This Row],[Column24]],0)</f>
        <v>0</v>
      </c>
      <c r="AH11" s="6">
        <f>IFERROR(Mar[[#This Row],[Column24]]/Mar[[#This Row],[Column19]],0)</f>
        <v>0</v>
      </c>
      <c r="AI11" s="36"/>
    </row>
    <row r="12" spans="1:35" ht="73" thickBot="1" x14ac:dyDescent="0.25">
      <c r="A12" s="246">
        <v>4</v>
      </c>
      <c r="B12" s="62"/>
      <c r="C12" s="111" t="s">
        <v>121</v>
      </c>
      <c r="D12" s="111"/>
      <c r="E12" s="111"/>
      <c r="F12" s="111"/>
      <c r="G12" s="131"/>
      <c r="H12" s="132"/>
      <c r="I12" s="137">
        <v>0</v>
      </c>
      <c r="J12" s="75">
        <v>0</v>
      </c>
      <c r="K12" s="138">
        <f>Mar[[#This Row],[Column7]]-Mar[[#This Row],[Column8]]</f>
        <v>0</v>
      </c>
      <c r="L12" s="83">
        <f t="shared" si="0"/>
        <v>0</v>
      </c>
      <c r="M12" s="137">
        <v>0</v>
      </c>
      <c r="N12" s="75">
        <v>0</v>
      </c>
      <c r="O12" s="138">
        <f>Mar[[#This Row],[Column10]]-Mar[[#This Row],[Column11]]</f>
        <v>0</v>
      </c>
      <c r="P12" s="83">
        <f t="shared" si="1"/>
        <v>0</v>
      </c>
      <c r="Q12" s="83">
        <f>IFERROR(Mar[[#This Row],[Column10]]/Mar[[#This Row],[Column7]],0)</f>
        <v>0</v>
      </c>
      <c r="R12" s="137">
        <v>0</v>
      </c>
      <c r="S12" s="75">
        <v>0</v>
      </c>
      <c r="T12" s="138">
        <f>Mar[[#This Row],[Column23]]-Mar[[#This Row],[Column27]]</f>
        <v>0</v>
      </c>
      <c r="U12" s="83">
        <f>IFERROR(Mar[[#This Row],[Column27]]/Mar[[#This Row],[Column23]],0)</f>
        <v>0</v>
      </c>
      <c r="V12" s="137">
        <v>0</v>
      </c>
      <c r="W12" s="75">
        <v>0</v>
      </c>
      <c r="X12" s="138">
        <f>Mar[[#This Row],[Column15]]-Mar[[#This Row],[Column16]]</f>
        <v>0</v>
      </c>
      <c r="Y12" s="83">
        <f>IFERROR(W12/V12,0)</f>
        <v>0</v>
      </c>
      <c r="Z12" s="139">
        <v>0</v>
      </c>
      <c r="AA12" s="140">
        <v>0</v>
      </c>
      <c r="AB12" s="141">
        <f>Mar[[#This Row],[Column19]]-Mar[[#This Row],[Column20]]</f>
        <v>0</v>
      </c>
      <c r="AC12" s="84">
        <f t="shared" si="2"/>
        <v>0</v>
      </c>
      <c r="AD12" s="142">
        <v>0</v>
      </c>
      <c r="AE12" s="143">
        <v>0</v>
      </c>
      <c r="AF12" s="141">
        <f>Mar[[#This Row],[Column24]]-Mar[[#This Row],[Column30]]</f>
        <v>0</v>
      </c>
      <c r="AG12" s="84">
        <f>IFERROR(Mar[[#This Row],[Column30]]/Mar[[#This Row],[Column24]],0)</f>
        <v>0</v>
      </c>
      <c r="AH12" s="144">
        <f>IFERROR(Mar[[#This Row],[Column24]]/Mar[[#This Row],[Column19]],0)</f>
        <v>0</v>
      </c>
      <c r="AI12" s="85"/>
    </row>
    <row r="13" spans="1:35" ht="83.5" customHeight="1" thickBot="1" x14ac:dyDescent="0.25">
      <c r="A13" s="280"/>
      <c r="B13" s="294"/>
      <c r="C13" s="295"/>
      <c r="D13" s="371" t="s">
        <v>70</v>
      </c>
      <c r="E13" s="302"/>
      <c r="F13" s="303"/>
      <c r="G13" s="372"/>
      <c r="H13" s="373"/>
      <c r="I13" s="298">
        <f>SUBTOTAL(109,Mar[Column7])</f>
        <v>0</v>
      </c>
      <c r="J13" s="297">
        <f>SUBTOTAL(109,Mar[Column8])</f>
        <v>0</v>
      </c>
      <c r="K13" s="297">
        <f>SUBTOTAL(109,Mar[Column9])</f>
        <v>0</v>
      </c>
      <c r="L13" s="374">
        <f>IFERROR(Mar[[#Totals],[Column8]]/Mar[[#Totals],[Column7]],0)</f>
        <v>0</v>
      </c>
      <c r="M13" s="298">
        <f>SUBTOTAL(109,Mar[Column10])</f>
        <v>0</v>
      </c>
      <c r="N13" s="297">
        <f>SUBTOTAL(109,Mar[Column11])</f>
        <v>0</v>
      </c>
      <c r="O13" s="297">
        <f>SUBTOTAL(109,Mar[Column12])</f>
        <v>0</v>
      </c>
      <c r="P13" s="374">
        <f>IFERROR(Mar[[#Totals],[Column11]]/Mar[[#Totals],[Column10]],0)</f>
        <v>0</v>
      </c>
      <c r="Q13" s="374">
        <f>IFERROR(Mar[[#Totals],[Column10]]/Mar[[#Totals],[Column7]],0)</f>
        <v>0</v>
      </c>
      <c r="R13" s="298">
        <f>SUBTOTAL(109,Mar[Column23])</f>
        <v>0</v>
      </c>
      <c r="S13" s="294">
        <f>SUBTOTAL(109,Mar[Column27])</f>
        <v>0</v>
      </c>
      <c r="T13" s="294">
        <f>SUBTOTAL(109,Mar[Column28])</f>
        <v>0</v>
      </c>
      <c r="U13" s="374">
        <f>IFERROR(Mar[[#Totals],[Column27]]/Mar[[#Totals],[Column23]],0)</f>
        <v>0</v>
      </c>
      <c r="V13" s="298">
        <f>SUBTOTAL(109,Mar[Column15])</f>
        <v>0</v>
      </c>
      <c r="W13" s="294">
        <f>SUBTOTAL(109,Mar[Column16])</f>
        <v>0</v>
      </c>
      <c r="X13" s="294">
        <f>SUBTOTAL(109,Mar[Column17])</f>
        <v>0</v>
      </c>
      <c r="Y13" s="374">
        <f>IFERROR(Mar[[#Totals],[Column16]]/Mar[[#Totals],[Column15]],0)</f>
        <v>0</v>
      </c>
      <c r="Z13" s="375">
        <f>SUBTOTAL(109,Mar[Column19])</f>
        <v>0</v>
      </c>
      <c r="AA13" s="300">
        <f>SUBTOTAL(109,Mar[Column20])</f>
        <v>0</v>
      </c>
      <c r="AB13" s="300">
        <f>SUBTOTAL(109,Mar[Column21])</f>
        <v>0</v>
      </c>
      <c r="AC13" s="290">
        <f>IFERROR(Mar[[#Totals],[Column20]]/Mar[[#Totals],[Column19]],0)</f>
        <v>0</v>
      </c>
      <c r="AD13" s="299">
        <f>SUBTOTAL(109,Mar[Column24])</f>
        <v>0</v>
      </c>
      <c r="AE13" s="376">
        <f>SUBTOTAL(109,Mar[Column30])</f>
        <v>0</v>
      </c>
      <c r="AF13" s="300">
        <f>SUBTOTAL(109,Mar[Column29])</f>
        <v>0</v>
      </c>
      <c r="AG13" s="339">
        <f>IFERROR(Mar[[#Totals],[Column30]]/Mar[[#Totals],[Column24]],0)</f>
        <v>0</v>
      </c>
      <c r="AH13" s="341">
        <f>IFERROR(Mar[[#Totals],[Column24]]/Mar[[#Totals],[Column19]],0)</f>
        <v>0</v>
      </c>
      <c r="AI13" s="303"/>
    </row>
    <row r="14" spans="1:35" ht="18" thickBot="1" x14ac:dyDescent="0.25">
      <c r="A14" s="332" t="s">
        <v>122</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7"/>
    </row>
  </sheetData>
  <sheetProtection formatRows="0" insertRows="0" deleteRows="0" sort="0" autoFilter="0" pivotTables="0"/>
  <mergeCells count="11">
    <mergeCell ref="AD7:AG7"/>
    <mergeCell ref="I7:L7"/>
    <mergeCell ref="R7:U7"/>
    <mergeCell ref="V7:Y7"/>
    <mergeCell ref="Z7:AC7"/>
    <mergeCell ref="H7:H8"/>
    <mergeCell ref="A7:A8"/>
    <mergeCell ref="B7:B8"/>
    <mergeCell ref="C7:C8"/>
    <mergeCell ref="D7:F7"/>
    <mergeCell ref="G7:G8"/>
  </mergeCells>
  <dataValidations count="3">
    <dataValidation allowBlank="1" showInputMessage="1" showErrorMessage="1" prompt="Please fill in the cell with text" sqref="B9:F12" xr:uid="{4793FC45-EAB7-4F1D-9EF2-992C3BCCE178}"/>
    <dataValidation type="decimal" allowBlank="1" showInputMessage="1" showErrorMessage="1" prompt="Input only numbers" sqref="I9:J12 M9:N12 R9:S12 V9:W12 Z9:AA12 AD9:AE12" xr:uid="{5BBE7954-D2CA-4558-9B2B-C2B9D0DDF329}">
      <formula1>0</formula1>
      <formula2>10000000000</formula2>
    </dataValidation>
    <dataValidation type="custom" allowBlank="1" showInputMessage="1" showErrorMessage="1" errorTitle="NOTICE!" error="Please dont input any value in this cell, there's formula." promptTitle="NOTICE!" prompt="Please dont input any value in this cell, there's formula." sqref="K9:L12 O9:Q12 T9:U12 X9:Y12 AB9:AC12 AF9:AG12" xr:uid="{4D5FDDE3-CDB5-416D-8C50-54C78819C0EE}">
      <formula1>"Please dont input any value in this cell, there's formula."</formula1>
    </dataValidation>
  </dataValidations>
  <pageMargins left="0.7" right="0.7" top="0.75" bottom="0.75" header="0.3" footer="0.3"/>
  <pageSetup paperSize="9" orientation="portrait" verticalDpi="4294967295"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1C489-7674-4C97-B47D-D7B57DF61A2A}">
  <dimension ref="A1:AI14"/>
  <sheetViews>
    <sheetView view="pageBreakPreview" topLeftCell="A6" zoomScale="40" zoomScaleNormal="55" zoomScaleSheetLayoutView="40" workbookViewId="0">
      <selection activeCell="H11" sqref="H11"/>
    </sheetView>
  </sheetViews>
  <sheetFormatPr baseColWidth="10" defaultColWidth="8.6640625" defaultRowHeight="17" x14ac:dyDescent="0.2"/>
  <cols>
    <col min="1" max="1" width="13.5" style="2" customWidth="1"/>
    <col min="2" max="2" width="32.33203125" style="2" customWidth="1"/>
    <col min="3" max="3" width="33.5" style="2" customWidth="1"/>
    <col min="4" max="4" width="29.5" style="2" customWidth="1"/>
    <col min="5" max="6" width="27.33203125" style="2" customWidth="1"/>
    <col min="7" max="8" width="36.1640625" style="2" customWidth="1"/>
    <col min="9" max="12" width="15.1640625" style="2" customWidth="1"/>
    <col min="13" max="15" width="14.83203125" style="2" customWidth="1"/>
    <col min="16" max="21" width="15" style="2" customWidth="1"/>
    <col min="22" max="22" width="9.5" style="2" bestFit="1" customWidth="1"/>
    <col min="23" max="25" width="14.83203125" style="2" customWidth="1"/>
    <col min="26" max="28" width="15.1640625" style="2" customWidth="1"/>
    <col min="29" max="29" width="14.83203125" style="2" customWidth="1"/>
    <col min="30" max="30" width="33.5" style="2" customWidth="1"/>
    <col min="31" max="33" width="21" style="2" customWidth="1"/>
    <col min="34" max="34" width="27" style="2" customWidth="1"/>
    <col min="35" max="35" width="14.83203125" style="2" customWidth="1"/>
    <col min="36" max="16384" width="8.6640625" style="102"/>
  </cols>
  <sheetData>
    <row r="1" spans="1:35" ht="18" hidden="1" thickBot="1" x14ac:dyDescent="0.25">
      <c r="B1" s="3" t="s">
        <v>123</v>
      </c>
    </row>
    <row r="2" spans="1:35" hidden="1" x14ac:dyDescent="0.2">
      <c r="B2" s="26" t="s">
        <v>40</v>
      </c>
      <c r="C2" s="238">
        <f>'#1'!C2</f>
        <v>0</v>
      </c>
      <c r="D2" s="25" t="s">
        <v>41</v>
      </c>
      <c r="E2" s="239">
        <f>'#2'!E2</f>
        <v>0</v>
      </c>
      <c r="F2" s="105"/>
    </row>
    <row r="3" spans="1:35" hidden="1" x14ac:dyDescent="0.2">
      <c r="B3" s="106" t="s">
        <v>42</v>
      </c>
      <c r="C3" s="240">
        <f>'#1'!C3</f>
        <v>0</v>
      </c>
      <c r="D3" s="105" t="s">
        <v>43</v>
      </c>
      <c r="E3" s="241">
        <f>'#2'!E3</f>
        <v>0</v>
      </c>
      <c r="F3" s="105"/>
    </row>
    <row r="4" spans="1:35" ht="35" hidden="1" thickBot="1" x14ac:dyDescent="0.25">
      <c r="B4" s="13" t="s">
        <v>44</v>
      </c>
      <c r="C4" s="108">
        <f>'#1'!C4</f>
        <v>0</v>
      </c>
      <c r="D4" s="109" t="s">
        <v>45</v>
      </c>
      <c r="E4" s="242">
        <f>'#2'!E4</f>
        <v>0</v>
      </c>
      <c r="F4" s="15"/>
    </row>
    <row r="5" spans="1:35" ht="18" hidden="1" thickBot="1" x14ac:dyDescent="0.25"/>
    <row r="6" spans="1:35" s="2" customFormat="1" ht="83.5" customHeight="1" thickBot="1" x14ac:dyDescent="0.25">
      <c r="A6" s="525" t="s">
        <v>136</v>
      </c>
      <c r="B6" s="522"/>
      <c r="C6" s="522"/>
      <c r="D6" s="522"/>
      <c r="E6" s="522"/>
      <c r="F6" s="522"/>
      <c r="G6" s="522"/>
      <c r="H6" s="522"/>
      <c r="I6" s="522"/>
      <c r="J6" s="522"/>
      <c r="K6" s="522"/>
      <c r="L6" s="522"/>
      <c r="M6" s="522"/>
      <c r="N6" s="522"/>
      <c r="O6" s="522"/>
      <c r="P6" s="522"/>
      <c r="Q6" s="522"/>
      <c r="R6" s="522"/>
      <c r="S6" s="522"/>
      <c r="T6" s="522"/>
      <c r="U6" s="522"/>
      <c r="V6" s="522"/>
      <c r="W6" s="522"/>
      <c r="X6" s="522"/>
      <c r="Y6" s="522"/>
      <c r="Z6" s="522"/>
      <c r="AA6" s="522"/>
      <c r="AB6" s="522"/>
      <c r="AC6" s="522"/>
      <c r="AD6" s="522"/>
      <c r="AE6" s="522"/>
      <c r="AF6" s="522"/>
      <c r="AG6" s="522"/>
      <c r="AH6" s="522"/>
      <c r="AI6" s="523"/>
    </row>
    <row r="7" spans="1:35" s="2" customFormat="1" ht="83.5" customHeight="1" thickBot="1" x14ac:dyDescent="0.25">
      <c r="A7" s="623" t="s">
        <v>50</v>
      </c>
      <c r="B7" s="625" t="s">
        <v>116</v>
      </c>
      <c r="C7" s="627" t="s">
        <v>52</v>
      </c>
      <c r="D7" s="629" t="s">
        <v>53</v>
      </c>
      <c r="E7" s="630"/>
      <c r="F7" s="631"/>
      <c r="G7" s="632" t="s">
        <v>80</v>
      </c>
      <c r="H7" s="664" t="s">
        <v>81</v>
      </c>
      <c r="I7" s="668" t="s">
        <v>129</v>
      </c>
      <c r="J7" s="666"/>
      <c r="K7" s="666"/>
      <c r="L7" s="667"/>
      <c r="M7" s="511" t="s">
        <v>108</v>
      </c>
      <c r="N7" s="512"/>
      <c r="O7" s="512"/>
      <c r="P7" s="513"/>
      <c r="Q7" s="500" t="s">
        <v>150</v>
      </c>
      <c r="R7" s="668" t="s">
        <v>109</v>
      </c>
      <c r="S7" s="666"/>
      <c r="T7" s="666"/>
      <c r="U7" s="667"/>
      <c r="V7" s="629" t="s">
        <v>110</v>
      </c>
      <c r="W7" s="630"/>
      <c r="X7" s="630"/>
      <c r="Y7" s="631"/>
      <c r="Z7" s="636" t="s">
        <v>57</v>
      </c>
      <c r="AA7" s="637"/>
      <c r="AB7" s="637"/>
      <c r="AC7" s="638"/>
      <c r="AD7" s="661" t="s">
        <v>119</v>
      </c>
      <c r="AE7" s="662"/>
      <c r="AF7" s="662"/>
      <c r="AG7" s="663"/>
      <c r="AH7" s="314" t="s">
        <v>151</v>
      </c>
      <c r="AI7" s="315" t="s">
        <v>120</v>
      </c>
    </row>
    <row r="8" spans="1:35" s="2" customFormat="1" ht="83.5" customHeight="1" thickBot="1" x14ac:dyDescent="0.25">
      <c r="A8" s="624"/>
      <c r="B8" s="626"/>
      <c r="C8" s="628"/>
      <c r="D8" s="201" t="s">
        <v>59</v>
      </c>
      <c r="E8" s="202" t="s">
        <v>86</v>
      </c>
      <c r="F8" s="203" t="s">
        <v>87</v>
      </c>
      <c r="G8" s="633"/>
      <c r="H8" s="665"/>
      <c r="I8" s="199" t="s">
        <v>64</v>
      </c>
      <c r="J8" s="204" t="s">
        <v>88</v>
      </c>
      <c r="K8" s="204" t="s">
        <v>89</v>
      </c>
      <c r="L8" s="200" t="s">
        <v>47</v>
      </c>
      <c r="M8" s="199" t="s">
        <v>64</v>
      </c>
      <c r="N8" s="204" t="s">
        <v>88</v>
      </c>
      <c r="O8" s="204" t="s">
        <v>89</v>
      </c>
      <c r="P8" s="200" t="s">
        <v>47</v>
      </c>
      <c r="Q8" s="503" t="s">
        <v>96</v>
      </c>
      <c r="R8" s="199" t="s">
        <v>64</v>
      </c>
      <c r="S8" s="204" t="s">
        <v>88</v>
      </c>
      <c r="T8" s="204" t="s">
        <v>89</v>
      </c>
      <c r="U8" s="200" t="s">
        <v>47</v>
      </c>
      <c r="V8" s="199" t="s">
        <v>64</v>
      </c>
      <c r="W8" s="204" t="s">
        <v>88</v>
      </c>
      <c r="X8" s="204" t="s">
        <v>89</v>
      </c>
      <c r="Y8" s="200" t="s">
        <v>47</v>
      </c>
      <c r="Z8" s="199" t="s">
        <v>90</v>
      </c>
      <c r="AA8" s="204" t="s">
        <v>91</v>
      </c>
      <c r="AB8" s="204" t="s">
        <v>92</v>
      </c>
      <c r="AC8" s="200" t="s">
        <v>47</v>
      </c>
      <c r="AD8" s="199" t="s">
        <v>90</v>
      </c>
      <c r="AE8" s="205" t="s">
        <v>93</v>
      </c>
      <c r="AF8" s="204" t="s">
        <v>94</v>
      </c>
      <c r="AG8" s="204" t="s">
        <v>95</v>
      </c>
      <c r="AH8" s="204" t="s">
        <v>96</v>
      </c>
      <c r="AI8" s="200" t="s">
        <v>97</v>
      </c>
    </row>
    <row r="9" spans="1:35" ht="83.5" customHeight="1" x14ac:dyDescent="0.2">
      <c r="A9" s="246">
        <v>1</v>
      </c>
      <c r="B9" s="62"/>
      <c r="C9" s="111" t="s">
        <v>121</v>
      </c>
      <c r="D9" s="111"/>
      <c r="E9" s="111"/>
      <c r="F9" s="111"/>
      <c r="G9" s="112"/>
      <c r="H9" s="113"/>
      <c r="I9" s="317">
        <v>0</v>
      </c>
      <c r="J9" s="10">
        <v>0</v>
      </c>
      <c r="K9" s="318">
        <f>Fin[[#This Row],[Column7]]-Fin[[#This Row],[Column8]]</f>
        <v>0</v>
      </c>
      <c r="L9" s="319">
        <f>IFERROR(Fin[[#This Row],[Column8]]/Fin[[#This Row],[Column7]],0)</f>
        <v>0</v>
      </c>
      <c r="M9" s="317">
        <v>0</v>
      </c>
      <c r="N9" s="10">
        <v>0</v>
      </c>
      <c r="O9" s="318">
        <f>Fin[[#This Row],[Column10]]-Fin[[#This Row],[Column11]]</f>
        <v>0</v>
      </c>
      <c r="P9" s="319">
        <f>IFERROR(N9/M9,0)</f>
        <v>0</v>
      </c>
      <c r="Q9" s="319">
        <f>IFERROR(Fin[[#This Row],[Column10]]/Fin[[#This Row],[Column7]],0)</f>
        <v>0</v>
      </c>
      <c r="R9" s="317">
        <v>0</v>
      </c>
      <c r="S9" s="10">
        <v>0</v>
      </c>
      <c r="T9" s="318">
        <f>Fin[[#This Row],[Column23]]-Fin[[#This Row],[Column27]]</f>
        <v>0</v>
      </c>
      <c r="U9" s="319">
        <f>IFERROR(Fin[[#This Row],[Column27]]/Fin[[#This Row],[Column23]],0)</f>
        <v>0</v>
      </c>
      <c r="V9" s="317">
        <v>0</v>
      </c>
      <c r="W9" s="10">
        <v>0</v>
      </c>
      <c r="X9" s="318">
        <f>Fin[[#This Row],[Column15]]-Fin[[#This Row],[Column16]]</f>
        <v>0</v>
      </c>
      <c r="Y9" s="319">
        <f>IFERROR(W9/V9,0)</f>
        <v>0</v>
      </c>
      <c r="Z9" s="320">
        <v>0</v>
      </c>
      <c r="AA9" s="34">
        <v>0</v>
      </c>
      <c r="AB9" s="321">
        <f>Fin[[#This Row],[Column19]]-Fin[[#This Row],[Column20]]</f>
        <v>0</v>
      </c>
      <c r="AC9" s="322">
        <f>IFERROR(AA9/Z9,0)</f>
        <v>0</v>
      </c>
      <c r="AD9" s="323">
        <v>0</v>
      </c>
      <c r="AE9" s="324">
        <v>0</v>
      </c>
      <c r="AF9" s="321">
        <f>Fin[[#This Row],[Column24]]-Fin[[#This Row],[Column30]]</f>
        <v>0</v>
      </c>
      <c r="AG9" s="322">
        <f>IFERROR(Fin[[#This Row],[Column30]]/Fin[[#This Row],[Column24]],0)</f>
        <v>0</v>
      </c>
      <c r="AH9" s="35">
        <f>IFERROR(Fin[[#This Row],[Column24]]/Fin[[#This Row],[Column19]],0)</f>
        <v>0</v>
      </c>
      <c r="AI9" s="325"/>
    </row>
    <row r="10" spans="1:35" ht="83.5" customHeight="1" x14ac:dyDescent="0.2">
      <c r="A10" s="246">
        <v>2</v>
      </c>
      <c r="B10" s="62"/>
      <c r="C10" s="111" t="s">
        <v>121</v>
      </c>
      <c r="D10" s="111"/>
      <c r="E10" s="111"/>
      <c r="F10" s="111"/>
      <c r="G10" s="126"/>
      <c r="H10" s="127"/>
      <c r="I10" s="118">
        <v>0</v>
      </c>
      <c r="J10" s="119">
        <v>0</v>
      </c>
      <c r="K10" s="120">
        <f>Fin[[#This Row],[Column7]]-Fin[[#This Row],[Column8]]</f>
        <v>0</v>
      </c>
      <c r="L10" s="81">
        <f>IFERROR(Fin[[#This Row],[Column8]]/Fin[[#This Row],[Column7]],0)</f>
        <v>0</v>
      </c>
      <c r="M10" s="118">
        <v>0</v>
      </c>
      <c r="N10" s="119">
        <v>0</v>
      </c>
      <c r="O10" s="120">
        <f>Fin[[#This Row],[Column10]]-Fin[[#This Row],[Column11]]</f>
        <v>0</v>
      </c>
      <c r="P10" s="81">
        <f t="shared" ref="P10:P12" si="0">IFERROR(N10/M10,0)</f>
        <v>0</v>
      </c>
      <c r="Q10" s="81">
        <f>IFERROR(Fin[[#This Row],[Column10]]/Fin[[#This Row],[Column7]],0)</f>
        <v>0</v>
      </c>
      <c r="R10" s="118">
        <v>0</v>
      </c>
      <c r="S10" s="119">
        <v>0</v>
      </c>
      <c r="T10" s="120">
        <f>Fin[[#This Row],[Column23]]-Fin[[#This Row],[Column27]]</f>
        <v>0</v>
      </c>
      <c r="U10" s="81">
        <f>IFERROR(Fin[[#This Row],[Column27]]/Fin[[#This Row],[Column23]],0)</f>
        <v>0</v>
      </c>
      <c r="V10" s="118">
        <v>0</v>
      </c>
      <c r="W10" s="119">
        <v>0</v>
      </c>
      <c r="X10" s="120">
        <f>Fin[[#This Row],[Column15]]-Fin[[#This Row],[Column16]]</f>
        <v>0</v>
      </c>
      <c r="Y10" s="81">
        <f>IFERROR(W12/V12,0)</f>
        <v>0</v>
      </c>
      <c r="Z10" s="121">
        <v>0</v>
      </c>
      <c r="AA10" s="122">
        <v>0</v>
      </c>
      <c r="AB10" s="123">
        <f>Fin[[#This Row],[Column19]]-Fin[[#This Row],[Column20]]</f>
        <v>0</v>
      </c>
      <c r="AC10" s="82">
        <f t="shared" ref="AC10:AC12" si="1">IFERROR(AA10/Z10,0)</f>
        <v>0</v>
      </c>
      <c r="AD10" s="124">
        <v>0</v>
      </c>
      <c r="AE10" s="125">
        <v>0</v>
      </c>
      <c r="AF10" s="123">
        <f>Fin[[#This Row],[Column24]]-Fin[[#This Row],[Column30]]</f>
        <v>0</v>
      </c>
      <c r="AG10" s="82">
        <f>IFERROR(Fin[[#This Row],[Column30]]/Fin[[#This Row],[Column24]],0)</f>
        <v>0</v>
      </c>
      <c r="AH10" s="6">
        <f>IFERROR(Fin[[#This Row],[Column24]]/Fin[[#This Row],[Column19]],0)</f>
        <v>0</v>
      </c>
      <c r="AI10" s="130"/>
    </row>
    <row r="11" spans="1:35" ht="83.5" customHeight="1" x14ac:dyDescent="0.2">
      <c r="A11" s="246">
        <v>3</v>
      </c>
      <c r="B11" s="62"/>
      <c r="C11" s="111" t="s">
        <v>121</v>
      </c>
      <c r="D11" s="111"/>
      <c r="E11" s="111"/>
      <c r="F11" s="111"/>
      <c r="G11" s="126"/>
      <c r="H11" s="127"/>
      <c r="I11" s="118">
        <v>0</v>
      </c>
      <c r="J11" s="119">
        <v>0</v>
      </c>
      <c r="K11" s="120">
        <f>Fin[[#This Row],[Column7]]-Fin[[#This Row],[Column8]]</f>
        <v>0</v>
      </c>
      <c r="L11" s="81">
        <f>IFERROR(Fin[[#This Row],[Column8]]/Fin[[#This Row],[Column7]],0)</f>
        <v>0</v>
      </c>
      <c r="M11" s="118">
        <v>0</v>
      </c>
      <c r="N11" s="119">
        <v>0</v>
      </c>
      <c r="O11" s="120">
        <f>Fin[[#This Row],[Column10]]-Fin[[#This Row],[Column11]]</f>
        <v>0</v>
      </c>
      <c r="P11" s="81">
        <f t="shared" si="0"/>
        <v>0</v>
      </c>
      <c r="Q11" s="81">
        <f>IFERROR(Fin[[#This Row],[Column10]]/Fin[[#This Row],[Column7]],0)</f>
        <v>0</v>
      </c>
      <c r="R11" s="118">
        <v>0</v>
      </c>
      <c r="S11" s="119">
        <v>0</v>
      </c>
      <c r="T11" s="120">
        <f>Fin[[#This Row],[Column23]]-Fin[[#This Row],[Column27]]</f>
        <v>0</v>
      </c>
      <c r="U11" s="81">
        <f>IFERROR(Fin[[#This Row],[Column27]]/Fin[[#This Row],[Column23]],0)</f>
        <v>0</v>
      </c>
      <c r="V11" s="118">
        <v>0</v>
      </c>
      <c r="W11" s="119">
        <v>0</v>
      </c>
      <c r="X11" s="120">
        <f>Fin[[#This Row],[Column15]]-Fin[[#This Row],[Column16]]</f>
        <v>0</v>
      </c>
      <c r="Y11" s="81">
        <f>IFERROR(W11/V11,0)</f>
        <v>0</v>
      </c>
      <c r="Z11" s="121">
        <v>0</v>
      </c>
      <c r="AA11" s="122">
        <v>0</v>
      </c>
      <c r="AB11" s="123">
        <f>Fin[[#This Row],[Column19]]-Fin[[#This Row],[Column20]]</f>
        <v>0</v>
      </c>
      <c r="AC11" s="82">
        <f t="shared" si="1"/>
        <v>0</v>
      </c>
      <c r="AD11" s="124">
        <v>0</v>
      </c>
      <c r="AE11" s="125">
        <v>0</v>
      </c>
      <c r="AF11" s="123">
        <f>Fin[[#This Row],[Column24]]-Fin[[#This Row],[Column30]]</f>
        <v>0</v>
      </c>
      <c r="AG11" s="82">
        <f>IFERROR(Fin[[#This Row],[Column30]]/Fin[[#This Row],[Column24]],0)</f>
        <v>0</v>
      </c>
      <c r="AH11" s="6">
        <f>IFERROR(Fin[[#This Row],[Column24]]/Fin[[#This Row],[Column19]],0)</f>
        <v>0</v>
      </c>
      <c r="AI11" s="36"/>
    </row>
    <row r="12" spans="1:35" ht="73" thickBot="1" x14ac:dyDescent="0.25">
      <c r="A12" s="246">
        <v>4</v>
      </c>
      <c r="B12" s="62"/>
      <c r="C12" s="111" t="s">
        <v>121</v>
      </c>
      <c r="D12" s="111"/>
      <c r="E12" s="111"/>
      <c r="F12" s="111"/>
      <c r="G12" s="131"/>
      <c r="H12" s="132"/>
      <c r="I12" s="137">
        <v>0</v>
      </c>
      <c r="J12" s="75">
        <v>0</v>
      </c>
      <c r="K12" s="138">
        <f>Fin[[#This Row],[Column7]]-Fin[[#This Row],[Column8]]</f>
        <v>0</v>
      </c>
      <c r="L12" s="83">
        <f>IFERROR(Fin[[#This Row],[Column8]]/Fin[[#This Row],[Column7]],0)</f>
        <v>0</v>
      </c>
      <c r="M12" s="137">
        <v>0</v>
      </c>
      <c r="N12" s="75">
        <v>0</v>
      </c>
      <c r="O12" s="138">
        <f>Fin[[#This Row],[Column10]]-Fin[[#This Row],[Column11]]</f>
        <v>0</v>
      </c>
      <c r="P12" s="83">
        <f t="shared" si="0"/>
        <v>0</v>
      </c>
      <c r="Q12" s="83">
        <f>IFERROR(Fin[[#This Row],[Column10]]/Fin[[#This Row],[Column7]],0)</f>
        <v>0</v>
      </c>
      <c r="R12" s="137">
        <v>0</v>
      </c>
      <c r="S12" s="75">
        <v>0</v>
      </c>
      <c r="T12" s="138">
        <f>Fin[[#This Row],[Column23]]-Fin[[#This Row],[Column27]]</f>
        <v>0</v>
      </c>
      <c r="U12" s="83">
        <f>IFERROR(Fin[[#This Row],[Column27]]/Fin[[#This Row],[Column23]],0)</f>
        <v>0</v>
      </c>
      <c r="V12" s="137">
        <v>0</v>
      </c>
      <c r="W12" s="75">
        <v>0</v>
      </c>
      <c r="X12" s="138">
        <v>0</v>
      </c>
      <c r="Y12" s="83">
        <f>IFERROR(W12/V12,0)</f>
        <v>0</v>
      </c>
      <c r="Z12" s="139">
        <v>0</v>
      </c>
      <c r="AA12" s="140">
        <v>0</v>
      </c>
      <c r="AB12" s="141">
        <f>Fin[[#This Row],[Column19]]-Fin[[#This Row],[Column20]]</f>
        <v>0</v>
      </c>
      <c r="AC12" s="84">
        <f t="shared" si="1"/>
        <v>0</v>
      </c>
      <c r="AD12" s="142">
        <v>0</v>
      </c>
      <c r="AE12" s="143">
        <v>0</v>
      </c>
      <c r="AF12" s="141">
        <f>Fin[[#This Row],[Column24]]-Fin[[#This Row],[Column30]]</f>
        <v>0</v>
      </c>
      <c r="AG12" s="84">
        <f>IFERROR(Fin[[#This Row],[Column30]]/Fin[[#This Row],[Column24]],0)</f>
        <v>0</v>
      </c>
      <c r="AH12" s="144">
        <f>IFERROR(Fin[[#This Row],[Column24]]/Fin[[#This Row],[Column19]],0)</f>
        <v>0</v>
      </c>
      <c r="AI12" s="85"/>
    </row>
    <row r="13" spans="1:35" ht="83.5" customHeight="1" thickBot="1" x14ac:dyDescent="0.25">
      <c r="A13" s="280"/>
      <c r="B13" s="294"/>
      <c r="C13" s="295"/>
      <c r="D13" s="371" t="s">
        <v>70</v>
      </c>
      <c r="E13" s="302"/>
      <c r="F13" s="303"/>
      <c r="G13" s="372"/>
      <c r="H13" s="373"/>
      <c r="I13" s="298">
        <f>SUBTOTAL(109,Fin[Column7])</f>
        <v>0</v>
      </c>
      <c r="J13" s="297">
        <f>SUBTOTAL(109,Fin[Column8])</f>
        <v>0</v>
      </c>
      <c r="K13" s="297">
        <f>SUBTOTAL(109,Fin[Column9])</f>
        <v>0</v>
      </c>
      <c r="L13" s="374">
        <f>IFERROR(Fin[[#Totals],[Column8]]/Fin[[#Totals],[Column7]],0)</f>
        <v>0</v>
      </c>
      <c r="M13" s="298">
        <f>SUBTOTAL(109,Fin[Column10])</f>
        <v>0</v>
      </c>
      <c r="N13" s="297">
        <f>SUBTOTAL(109,Fin[Column11])</f>
        <v>0</v>
      </c>
      <c r="O13" s="297">
        <f>SUBTOTAL(109,Fin[Column12])</f>
        <v>0</v>
      </c>
      <c r="P13" s="374">
        <f>IFERROR(Fin[[#Totals],[Column11]]/Fin[[#Totals],[Column10]],0)</f>
        <v>0</v>
      </c>
      <c r="Q13" s="538">
        <f>IFERROR(Fin[[#Totals],[Column10]]/Fin[[#Totals],[Column7]],0)</f>
        <v>0</v>
      </c>
      <c r="R13" s="298">
        <f>SUBTOTAL(109,Fin[Column23])</f>
        <v>0</v>
      </c>
      <c r="S13" s="294">
        <f>SUBTOTAL(109,Fin[Column27])</f>
        <v>0</v>
      </c>
      <c r="T13" s="294">
        <f>SUBTOTAL(109,Fin[Column28])</f>
        <v>0</v>
      </c>
      <c r="U13" s="374">
        <f>IFERROR(Fin[[#Totals],[Column27]]/Fin[[#Totals],[Column23]],0)</f>
        <v>0</v>
      </c>
      <c r="V13" s="298">
        <f>SUBTOTAL(109,Fin[Column15])</f>
        <v>0</v>
      </c>
      <c r="W13" s="294">
        <f>SUBTOTAL(109,Fin[Column16])</f>
        <v>0</v>
      </c>
      <c r="X13" s="294">
        <f>SUBTOTAL(109,Fin[Column17])</f>
        <v>0</v>
      </c>
      <c r="Y13" s="374">
        <f>IFERROR(Fin[[#Totals],[Column16]]/Fin[[#Totals],[Column15]],0)</f>
        <v>0</v>
      </c>
      <c r="Z13" s="375">
        <f>SUBTOTAL(109,Fin[Column19])</f>
        <v>0</v>
      </c>
      <c r="AA13" s="300">
        <f>SUBTOTAL(109,Fin[Column20])</f>
        <v>0</v>
      </c>
      <c r="AB13" s="300">
        <f>SUBTOTAL(109,Fin[Column21])</f>
        <v>0</v>
      </c>
      <c r="AC13" s="290">
        <f>IFERROR(Fin[[#Totals],[Column20]]/Fin[[#Totals],[Column19]],0)</f>
        <v>0</v>
      </c>
      <c r="AD13" s="299">
        <f>SUBTOTAL(109,Fin[Column24])</f>
        <v>0</v>
      </c>
      <c r="AE13" s="376">
        <f>SUBTOTAL(109,Fin[Column30])</f>
        <v>0</v>
      </c>
      <c r="AF13" s="300">
        <f>SUBTOTAL(109,Fin[Column29])</f>
        <v>0</v>
      </c>
      <c r="AG13" s="339">
        <f>IFERROR(Fin[[#Totals],[Column30]]/Fin[[#Totals],[Column24]],0)</f>
        <v>0</v>
      </c>
      <c r="AH13" s="245">
        <f>IFERROR(Fin[[#Totals],[Column24]]/Fin[[#Totals],[Column19]],0)</f>
        <v>0</v>
      </c>
      <c r="AI13" s="243"/>
    </row>
    <row r="14" spans="1:35" ht="18" thickBot="1" x14ac:dyDescent="0.25">
      <c r="A14" s="332" t="s">
        <v>122</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7"/>
    </row>
  </sheetData>
  <sheetProtection formatRows="0" insertRows="0" deleteRows="0" sort="0" autoFilter="0" pivotTables="0"/>
  <mergeCells count="11">
    <mergeCell ref="AD7:AG7"/>
    <mergeCell ref="I7:L7"/>
    <mergeCell ref="R7:U7"/>
    <mergeCell ref="V7:Y7"/>
    <mergeCell ref="Z7:AC7"/>
    <mergeCell ref="H7:H8"/>
    <mergeCell ref="A7:A8"/>
    <mergeCell ref="B7:B8"/>
    <mergeCell ref="C7:C8"/>
    <mergeCell ref="D7:F7"/>
    <mergeCell ref="G7:G8"/>
  </mergeCells>
  <dataValidations count="3">
    <dataValidation allowBlank="1" showInputMessage="1" showErrorMessage="1" prompt="Please fill in the cell with text" sqref="B9:F12" xr:uid="{EB7A2377-8BFE-4489-99E8-9B6B383E0804}"/>
    <dataValidation type="decimal" allowBlank="1" showInputMessage="1" showErrorMessage="1" prompt="Input only numbers" sqref="I9:J12 M9:N12 R9:S12 V9:W12 Z9:AA12 AD9:AE12" xr:uid="{2E846228-42B8-40E0-8E5C-8E693D9F6B6A}">
      <formula1>0</formula1>
      <formula2>10000000000</formula2>
    </dataValidation>
    <dataValidation type="custom" allowBlank="1" showInputMessage="1" showErrorMessage="1" errorTitle="NOTICE!" error="Please dont input any value in this cell, there's formula" promptTitle="NOTICE!" prompt="Please dont input any value in this cell, there's formula" sqref="K9:L12 O9:Q12 T9:U12 X9:Y12 AB9:AC12 AF9:AG12" xr:uid="{46B60747-7413-4E57-BCBF-DE90AFF1E5A9}">
      <formula1>"Please dont input any value in this cell, there's formula"</formula1>
    </dataValidation>
  </dataValidations>
  <pageMargins left="0.7" right="0.7" top="0.75" bottom="0.75" header="0.3" footer="0.3"/>
  <pageSetup paperSize="9" orientation="portrait" verticalDpi="4294967295"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9F001-4F57-4F09-B670-52DF831E5C38}">
  <dimension ref="A1:AI14"/>
  <sheetViews>
    <sheetView view="pageBreakPreview" topLeftCell="A6" zoomScale="40" zoomScaleNormal="55" zoomScaleSheetLayoutView="40" workbookViewId="0">
      <selection activeCell="I11" sqref="I11"/>
    </sheetView>
  </sheetViews>
  <sheetFormatPr baseColWidth="10" defaultColWidth="8.6640625" defaultRowHeight="17" x14ac:dyDescent="0.2"/>
  <cols>
    <col min="1" max="1" width="13.5" style="2" customWidth="1"/>
    <col min="2" max="2" width="32.33203125" style="2" customWidth="1"/>
    <col min="3" max="3" width="33.5" style="2" customWidth="1"/>
    <col min="4" max="4" width="29.5" style="2" customWidth="1"/>
    <col min="5" max="6" width="27.33203125" style="2" customWidth="1"/>
    <col min="7" max="8" width="36.1640625" style="2" customWidth="1"/>
    <col min="9" max="12" width="15.5" style="2" customWidth="1"/>
    <col min="13" max="14" width="14.83203125" style="2" customWidth="1"/>
    <col min="15" max="15" width="15" style="2" customWidth="1"/>
    <col min="16" max="21" width="14.83203125" style="2" customWidth="1"/>
    <col min="22" max="22" width="20.33203125" style="2" customWidth="1"/>
    <col min="23" max="25" width="14.83203125" style="2" customWidth="1"/>
    <col min="26" max="28" width="15.1640625" style="2" customWidth="1"/>
    <col min="29" max="29" width="14.83203125" style="2" customWidth="1"/>
    <col min="30" max="30" width="33.5" style="2" customWidth="1"/>
    <col min="31" max="33" width="21" style="2" customWidth="1"/>
    <col min="34" max="34" width="27" style="2" customWidth="1"/>
    <col min="35" max="35" width="14.83203125" style="2" customWidth="1"/>
    <col min="36" max="16384" width="8.6640625" style="102"/>
  </cols>
  <sheetData>
    <row r="1" spans="1:35" ht="18" hidden="1" thickBot="1" x14ac:dyDescent="0.25">
      <c r="B1" s="3" t="s">
        <v>123</v>
      </c>
    </row>
    <row r="2" spans="1:35" hidden="1" x14ac:dyDescent="0.2">
      <c r="B2" s="26" t="s">
        <v>40</v>
      </c>
      <c r="C2" s="238">
        <f>'#1'!C2</f>
        <v>0</v>
      </c>
      <c r="D2" s="25" t="s">
        <v>41</v>
      </c>
      <c r="E2" s="239">
        <f>'#2'!E2</f>
        <v>0</v>
      </c>
      <c r="F2" s="105"/>
    </row>
    <row r="3" spans="1:35" hidden="1" x14ac:dyDescent="0.2">
      <c r="B3" s="106" t="s">
        <v>42</v>
      </c>
      <c r="C3" s="240">
        <f>'#1'!C3</f>
        <v>0</v>
      </c>
      <c r="D3" s="105" t="s">
        <v>43</v>
      </c>
      <c r="E3" s="241">
        <f>'#2'!E3</f>
        <v>0</v>
      </c>
      <c r="F3" s="105"/>
    </row>
    <row r="4" spans="1:35" ht="35" hidden="1" thickBot="1" x14ac:dyDescent="0.25">
      <c r="B4" s="13" t="s">
        <v>44</v>
      </c>
      <c r="C4" s="108">
        <f>'#1'!C4</f>
        <v>0</v>
      </c>
      <c r="D4" s="109" t="s">
        <v>45</v>
      </c>
      <c r="E4" s="242">
        <f>'#2'!E4</f>
        <v>0</v>
      </c>
      <c r="F4" s="15"/>
    </row>
    <row r="5" spans="1:35" ht="18" hidden="1" thickBot="1" x14ac:dyDescent="0.25"/>
    <row r="6" spans="1:35" s="2" customFormat="1" ht="83.5" customHeight="1" thickBot="1" x14ac:dyDescent="0.25">
      <c r="A6" s="525" t="s">
        <v>137</v>
      </c>
      <c r="B6" s="522"/>
      <c r="C6" s="522"/>
      <c r="D6" s="522"/>
      <c r="E6" s="522"/>
      <c r="F6" s="522"/>
      <c r="G6" s="522"/>
      <c r="H6" s="522"/>
      <c r="I6" s="522"/>
      <c r="J6" s="522"/>
      <c r="K6" s="522"/>
      <c r="L6" s="522"/>
      <c r="M6" s="522"/>
      <c r="N6" s="522"/>
      <c r="O6" s="522"/>
      <c r="P6" s="522"/>
      <c r="Q6" s="522"/>
      <c r="R6" s="522"/>
      <c r="S6" s="522"/>
      <c r="T6" s="522"/>
      <c r="U6" s="522"/>
      <c r="V6" s="522"/>
      <c r="W6" s="522"/>
      <c r="X6" s="522"/>
      <c r="Y6" s="522"/>
      <c r="Z6" s="522"/>
      <c r="AA6" s="522"/>
      <c r="AB6" s="522"/>
      <c r="AC6" s="522"/>
      <c r="AD6" s="522"/>
      <c r="AE6" s="522"/>
      <c r="AF6" s="522"/>
      <c r="AG6" s="522"/>
      <c r="AH6" s="522"/>
      <c r="AI6" s="523"/>
    </row>
    <row r="7" spans="1:35" s="2" customFormat="1" ht="83.5" customHeight="1" thickBot="1" x14ac:dyDescent="0.25">
      <c r="A7" s="623" t="s">
        <v>50</v>
      </c>
      <c r="B7" s="625" t="s">
        <v>116</v>
      </c>
      <c r="C7" s="627" t="s">
        <v>52</v>
      </c>
      <c r="D7" s="629" t="s">
        <v>53</v>
      </c>
      <c r="E7" s="630"/>
      <c r="F7" s="631"/>
      <c r="G7" s="632" t="s">
        <v>80</v>
      </c>
      <c r="H7" s="664" t="s">
        <v>81</v>
      </c>
      <c r="I7" s="668" t="s">
        <v>129</v>
      </c>
      <c r="J7" s="666"/>
      <c r="K7" s="666"/>
      <c r="L7" s="667"/>
      <c r="M7" s="511" t="s">
        <v>108</v>
      </c>
      <c r="N7" s="512"/>
      <c r="O7" s="512"/>
      <c r="P7" s="513"/>
      <c r="Q7" s="500" t="s">
        <v>150</v>
      </c>
      <c r="R7" s="668" t="s">
        <v>109</v>
      </c>
      <c r="S7" s="666"/>
      <c r="T7" s="666"/>
      <c r="U7" s="667"/>
      <c r="V7" s="629" t="s">
        <v>110</v>
      </c>
      <c r="W7" s="630"/>
      <c r="X7" s="630"/>
      <c r="Y7" s="631"/>
      <c r="Z7" s="636" t="s">
        <v>57</v>
      </c>
      <c r="AA7" s="637"/>
      <c r="AB7" s="637"/>
      <c r="AC7" s="638"/>
      <c r="AD7" s="661" t="s">
        <v>119</v>
      </c>
      <c r="AE7" s="662"/>
      <c r="AF7" s="662"/>
      <c r="AG7" s="663"/>
      <c r="AH7" s="314" t="s">
        <v>151</v>
      </c>
      <c r="AI7" s="315" t="s">
        <v>120</v>
      </c>
    </row>
    <row r="8" spans="1:35" s="2" customFormat="1" ht="83.5" customHeight="1" thickBot="1" x14ac:dyDescent="0.25">
      <c r="A8" s="624"/>
      <c r="B8" s="626"/>
      <c r="C8" s="628"/>
      <c r="D8" s="201" t="s">
        <v>59</v>
      </c>
      <c r="E8" s="202" t="s">
        <v>86</v>
      </c>
      <c r="F8" s="203" t="s">
        <v>87</v>
      </c>
      <c r="G8" s="633"/>
      <c r="H8" s="665"/>
      <c r="I8" s="199" t="s">
        <v>64</v>
      </c>
      <c r="J8" s="204" t="s">
        <v>88</v>
      </c>
      <c r="K8" s="204" t="s">
        <v>89</v>
      </c>
      <c r="L8" s="200" t="s">
        <v>47</v>
      </c>
      <c r="M8" s="199" t="s">
        <v>64</v>
      </c>
      <c r="N8" s="204" t="s">
        <v>88</v>
      </c>
      <c r="O8" s="204" t="s">
        <v>89</v>
      </c>
      <c r="P8" s="200" t="s">
        <v>47</v>
      </c>
      <c r="Q8" s="503" t="s">
        <v>96</v>
      </c>
      <c r="R8" s="199" t="s">
        <v>64</v>
      </c>
      <c r="S8" s="204" t="s">
        <v>88</v>
      </c>
      <c r="T8" s="204" t="s">
        <v>89</v>
      </c>
      <c r="U8" s="200" t="s">
        <v>47</v>
      </c>
      <c r="V8" s="199" t="s">
        <v>64</v>
      </c>
      <c r="W8" s="204" t="s">
        <v>88</v>
      </c>
      <c r="X8" s="204" t="s">
        <v>89</v>
      </c>
      <c r="Y8" s="200" t="s">
        <v>47</v>
      </c>
      <c r="Z8" s="199" t="s">
        <v>90</v>
      </c>
      <c r="AA8" s="204" t="s">
        <v>91</v>
      </c>
      <c r="AB8" s="204" t="s">
        <v>92</v>
      </c>
      <c r="AC8" s="200" t="s">
        <v>47</v>
      </c>
      <c r="AD8" s="199" t="s">
        <v>90</v>
      </c>
      <c r="AE8" s="205" t="s">
        <v>93</v>
      </c>
      <c r="AF8" s="204" t="s">
        <v>94</v>
      </c>
      <c r="AG8" s="204" t="s">
        <v>95</v>
      </c>
      <c r="AH8" s="204" t="s">
        <v>96</v>
      </c>
      <c r="AI8" s="200" t="s">
        <v>97</v>
      </c>
    </row>
    <row r="9" spans="1:35" ht="83.5" customHeight="1" x14ac:dyDescent="0.2">
      <c r="A9" s="246">
        <v>1</v>
      </c>
      <c r="B9" s="62"/>
      <c r="C9" s="111" t="s">
        <v>121</v>
      </c>
      <c r="D9" s="111"/>
      <c r="E9" s="111"/>
      <c r="F9" s="111"/>
      <c r="G9" s="112"/>
      <c r="H9" s="113"/>
      <c r="I9" s="317">
        <v>0</v>
      </c>
      <c r="J9" s="10">
        <v>0</v>
      </c>
      <c r="K9" s="318">
        <f>Inst[[#This Row],[Column7]]-Inst[[#This Row],[Column8]]</f>
        <v>0</v>
      </c>
      <c r="L9" s="319">
        <f>IFERROR(Inst[[#This Row],[Column8]]/Inst[[#This Row],[Column7]],0)</f>
        <v>0</v>
      </c>
      <c r="M9" s="317">
        <v>0</v>
      </c>
      <c r="N9" s="10">
        <v>0</v>
      </c>
      <c r="O9" s="318">
        <f>Inst[[#This Row],[Column10]]-Inst[[#This Row],[Column11]]</f>
        <v>0</v>
      </c>
      <c r="P9" s="319">
        <f>IFERROR(N9/M9,0)</f>
        <v>0</v>
      </c>
      <c r="Q9" s="319">
        <f>IFERROR(Inst[[#This Row],[Column10]]/Inst[[#This Row],[Column7]],0)</f>
        <v>0</v>
      </c>
      <c r="R9" s="317">
        <v>0</v>
      </c>
      <c r="S9" s="10">
        <v>0</v>
      </c>
      <c r="T9" s="318">
        <f>Inst[[#This Row],[Column23]]-Inst[[#This Row],[Column27]]</f>
        <v>0</v>
      </c>
      <c r="U9" s="319">
        <f>IFERROR(Inst[[#This Row],[Column27]]/Inst[[#This Row],[Column23]],0)</f>
        <v>0</v>
      </c>
      <c r="V9" s="317">
        <v>0</v>
      </c>
      <c r="W9" s="10">
        <v>0</v>
      </c>
      <c r="X9" s="318">
        <f>Inst[[#This Row],[Column15]]-Inst[[#This Row],[Column16]]</f>
        <v>0</v>
      </c>
      <c r="Y9" s="319">
        <f>IFERROR(W9/V9,0)</f>
        <v>0</v>
      </c>
      <c r="Z9" s="324">
        <v>0</v>
      </c>
      <c r="AA9" s="34">
        <v>0</v>
      </c>
      <c r="AB9" s="321">
        <f>Inst[[#This Row],[Column19]]-Inst[[#This Row],[Column20]]</f>
        <v>0</v>
      </c>
      <c r="AC9" s="322">
        <f>IFERROR(AA9/Z9,0)</f>
        <v>0</v>
      </c>
      <c r="AD9" s="323">
        <v>0</v>
      </c>
      <c r="AE9" s="324">
        <v>0</v>
      </c>
      <c r="AF9" s="321">
        <f>Inst[[#This Row],[Column24]]-Inst[[#This Row],[Column30]]</f>
        <v>0</v>
      </c>
      <c r="AG9" s="322">
        <f>IFERROR(Inst[[#This Row],[Column30]]/Inst[[#This Row],[Column24]],0)</f>
        <v>0</v>
      </c>
      <c r="AH9" s="35">
        <f>IFERROR(Inst[[#This Row],[Column24]]/Inst[[#This Row],[Column19]],0)</f>
        <v>0</v>
      </c>
      <c r="AI9" s="325"/>
    </row>
    <row r="10" spans="1:35" ht="83.5" customHeight="1" x14ac:dyDescent="0.2">
      <c r="A10" s="246">
        <v>2</v>
      </c>
      <c r="B10" s="62"/>
      <c r="C10" s="111" t="s">
        <v>121</v>
      </c>
      <c r="D10" s="111"/>
      <c r="E10" s="111"/>
      <c r="F10" s="111"/>
      <c r="G10" s="126"/>
      <c r="H10" s="127"/>
      <c r="I10" s="118">
        <v>0</v>
      </c>
      <c r="J10" s="119">
        <v>0</v>
      </c>
      <c r="K10" s="120">
        <f>Inst[[#This Row],[Column7]]-Inst[[#This Row],[Column8]]</f>
        <v>0</v>
      </c>
      <c r="L10" s="81">
        <f>IFERROR(Inst[[#This Row],[Column8]]/Inst[[#This Row],[Column7]],0)</f>
        <v>0</v>
      </c>
      <c r="M10" s="118">
        <v>0</v>
      </c>
      <c r="N10" s="119">
        <v>0</v>
      </c>
      <c r="O10" s="120">
        <f>Inst[[#This Row],[Column10]]-Inst[[#This Row],[Column11]]</f>
        <v>0</v>
      </c>
      <c r="P10" s="81">
        <f t="shared" ref="P10:P12" si="0">IFERROR(N10/M10,0)</f>
        <v>0</v>
      </c>
      <c r="Q10" s="81">
        <f>IFERROR(Inst[[#This Row],[Column10]]/Inst[[#This Row],[Column7]],0)</f>
        <v>0</v>
      </c>
      <c r="R10" s="118">
        <v>0</v>
      </c>
      <c r="S10" s="119">
        <v>0</v>
      </c>
      <c r="T10" s="120">
        <f>Inst[[#This Row],[Column23]]-Inst[[#This Row],[Column27]]</f>
        <v>0</v>
      </c>
      <c r="U10" s="81">
        <f>IFERROR(Inst[[#This Row],[Column27]]/Inst[[#This Row],[Column23]],0)</f>
        <v>0</v>
      </c>
      <c r="V10" s="118">
        <v>0</v>
      </c>
      <c r="W10" s="119">
        <v>0</v>
      </c>
      <c r="X10" s="120">
        <f>Inst[[#This Row],[Column15]]-Inst[[#This Row],[Column16]]</f>
        <v>0</v>
      </c>
      <c r="Y10" s="81">
        <f t="shared" ref="Y10:Y12" si="1">IFERROR(W10/V10,0)</f>
        <v>0</v>
      </c>
      <c r="Z10" s="125">
        <v>0</v>
      </c>
      <c r="AA10" s="122">
        <v>0</v>
      </c>
      <c r="AB10" s="123">
        <f>Inst[[#This Row],[Column19]]-Inst[[#This Row],[Column20]]</f>
        <v>0</v>
      </c>
      <c r="AC10" s="82">
        <f t="shared" ref="AC10:AC12" si="2">IFERROR(AA10/Z10,0)</f>
        <v>0</v>
      </c>
      <c r="AD10" s="124">
        <v>0</v>
      </c>
      <c r="AE10" s="125">
        <v>0</v>
      </c>
      <c r="AF10" s="123">
        <f>Inst[[#This Row],[Column24]]-Inst[[#This Row],[Column30]]</f>
        <v>0</v>
      </c>
      <c r="AG10" s="82">
        <f>IFERROR(Inst[[#This Row],[Column30]]/Inst[[#This Row],[Column24]],0)</f>
        <v>0</v>
      </c>
      <c r="AH10" s="6">
        <f>IFERROR(Inst[[#This Row],[Column24]]/Inst[[#This Row],[Column19]],0)</f>
        <v>0</v>
      </c>
      <c r="AI10" s="130"/>
    </row>
    <row r="11" spans="1:35" ht="83.5" customHeight="1" x14ac:dyDescent="0.2">
      <c r="A11" s="246">
        <v>3</v>
      </c>
      <c r="B11" s="62"/>
      <c r="C11" s="111" t="s">
        <v>121</v>
      </c>
      <c r="D11" s="111"/>
      <c r="E11" s="111"/>
      <c r="F11" s="111"/>
      <c r="G11" s="126"/>
      <c r="H11" s="127"/>
      <c r="I11" s="118">
        <v>0</v>
      </c>
      <c r="J11" s="119">
        <v>0</v>
      </c>
      <c r="K11" s="120">
        <f>Inst[[#This Row],[Column7]]-Inst[[#This Row],[Column8]]</f>
        <v>0</v>
      </c>
      <c r="L11" s="81">
        <f>IFERROR(Inst[[#This Row],[Column8]]/Inst[[#This Row],[Column7]],0)</f>
        <v>0</v>
      </c>
      <c r="M11" s="118">
        <v>0</v>
      </c>
      <c r="N11" s="119">
        <v>0</v>
      </c>
      <c r="O11" s="120">
        <f>Inst[[#This Row],[Column10]]-Inst[[#This Row],[Column11]]</f>
        <v>0</v>
      </c>
      <c r="P11" s="81">
        <f t="shared" si="0"/>
        <v>0</v>
      </c>
      <c r="Q11" s="81">
        <f>IFERROR(Inst[[#This Row],[Column10]]/Inst[[#This Row],[Column7]],0)</f>
        <v>0</v>
      </c>
      <c r="R11" s="118">
        <v>0</v>
      </c>
      <c r="S11" s="119">
        <v>0</v>
      </c>
      <c r="T11" s="120">
        <f>Inst[[#This Row],[Column23]]-Inst[[#This Row],[Column27]]</f>
        <v>0</v>
      </c>
      <c r="U11" s="81">
        <f>IFERROR(Inst[[#This Row],[Column27]]/Inst[[#This Row],[Column23]],0)</f>
        <v>0</v>
      </c>
      <c r="V11" s="118">
        <v>0</v>
      </c>
      <c r="W11" s="119">
        <v>0</v>
      </c>
      <c r="X11" s="120">
        <f>Inst[[#This Row],[Column15]]-Inst[[#This Row],[Column16]]</f>
        <v>0</v>
      </c>
      <c r="Y11" s="81">
        <f t="shared" si="1"/>
        <v>0</v>
      </c>
      <c r="Z11" s="125">
        <v>0</v>
      </c>
      <c r="AA11" s="122">
        <v>0</v>
      </c>
      <c r="AB11" s="123">
        <f>Inst[[#This Row],[Column19]]-Inst[[#This Row],[Column20]]</f>
        <v>0</v>
      </c>
      <c r="AC11" s="82">
        <f t="shared" si="2"/>
        <v>0</v>
      </c>
      <c r="AD11" s="124">
        <v>0</v>
      </c>
      <c r="AE11" s="125">
        <v>0</v>
      </c>
      <c r="AF11" s="123">
        <f>Inst[[#This Row],[Column24]]-Inst[[#This Row],[Column30]]</f>
        <v>0</v>
      </c>
      <c r="AG11" s="82">
        <f>IFERROR(Inst[[#This Row],[Column30]]/Inst[[#This Row],[Column24]],0)</f>
        <v>0</v>
      </c>
      <c r="AH11" s="6">
        <f>IFERROR(Inst[[#This Row],[Column24]]/Inst[[#This Row],[Column19]],0)</f>
        <v>0</v>
      </c>
      <c r="AI11" s="36"/>
    </row>
    <row r="12" spans="1:35" ht="73" thickBot="1" x14ac:dyDescent="0.25">
      <c r="A12" s="246">
        <v>4</v>
      </c>
      <c r="B12" s="62"/>
      <c r="C12" s="111" t="s">
        <v>121</v>
      </c>
      <c r="D12" s="111"/>
      <c r="E12" s="111"/>
      <c r="F12" s="111"/>
      <c r="G12" s="131"/>
      <c r="H12" s="132"/>
      <c r="I12" s="137">
        <v>0</v>
      </c>
      <c r="J12" s="75">
        <v>0</v>
      </c>
      <c r="K12" s="138">
        <f>Inst[[#This Row],[Column7]]-Inst[[#This Row],[Column8]]</f>
        <v>0</v>
      </c>
      <c r="L12" s="83">
        <f>IFERROR(Inst[[#This Row],[Column8]]/Inst[[#This Row],[Column7]],0)</f>
        <v>0</v>
      </c>
      <c r="M12" s="137">
        <v>0</v>
      </c>
      <c r="N12" s="75">
        <v>0</v>
      </c>
      <c r="O12" s="138">
        <f>Inst[[#This Row],[Column10]]-Inst[[#This Row],[Column11]]</f>
        <v>0</v>
      </c>
      <c r="P12" s="83">
        <f t="shared" si="0"/>
        <v>0</v>
      </c>
      <c r="Q12" s="83">
        <f>IFERROR(Inst[[#This Row],[Column10]]/Inst[[#This Row],[Column7]],0)</f>
        <v>0</v>
      </c>
      <c r="R12" s="137">
        <v>0</v>
      </c>
      <c r="S12" s="75">
        <v>0</v>
      </c>
      <c r="T12" s="138">
        <f>Inst[[#This Row],[Column23]]-Inst[[#This Row],[Column27]]</f>
        <v>0</v>
      </c>
      <c r="U12" s="83">
        <f>IFERROR(Inst[[#This Row],[Column27]]/Inst[[#This Row],[Column23]],0)</f>
        <v>0</v>
      </c>
      <c r="V12" s="137">
        <v>0</v>
      </c>
      <c r="W12" s="75">
        <v>0</v>
      </c>
      <c r="X12" s="138">
        <f>Inst[[#This Row],[Column15]]-Inst[[#This Row],[Column16]]</f>
        <v>0</v>
      </c>
      <c r="Y12" s="83">
        <f t="shared" si="1"/>
        <v>0</v>
      </c>
      <c r="Z12" s="143">
        <v>0</v>
      </c>
      <c r="AA12" s="140">
        <v>0</v>
      </c>
      <c r="AB12" s="141">
        <f>Inst[[#This Row],[Column19]]-Inst[[#This Row],[Column20]]</f>
        <v>0</v>
      </c>
      <c r="AC12" s="84">
        <f t="shared" si="2"/>
        <v>0</v>
      </c>
      <c r="AD12" s="142">
        <v>0</v>
      </c>
      <c r="AE12" s="143">
        <v>0</v>
      </c>
      <c r="AF12" s="141">
        <f>Inst[[#This Row],[Column24]]-Inst[[#This Row],[Column30]]</f>
        <v>0</v>
      </c>
      <c r="AG12" s="84">
        <f>IFERROR(Inst[[#This Row],[Column30]]/Inst[[#This Row],[Column24]],0)</f>
        <v>0</v>
      </c>
      <c r="AH12" s="144">
        <f>IFERROR(Inst[[#This Row],[Column24]]/Inst[[#This Row],[Column19]],0)</f>
        <v>0</v>
      </c>
      <c r="AI12" s="85"/>
    </row>
    <row r="13" spans="1:35" ht="83.5" customHeight="1" thickBot="1" x14ac:dyDescent="0.25">
      <c r="A13" s="261"/>
      <c r="B13" s="281"/>
      <c r="C13" s="282"/>
      <c r="D13" s="377" t="s">
        <v>70</v>
      </c>
      <c r="E13" s="284"/>
      <c r="F13" s="285"/>
      <c r="G13" s="383"/>
      <c r="H13" s="384"/>
      <c r="I13" s="288">
        <f>SUBTOTAL(109,Inst[Column7])</f>
        <v>0</v>
      </c>
      <c r="J13" s="289">
        <f>SUBTOTAL(109,Inst[Column8])</f>
        <v>0</v>
      </c>
      <c r="K13" s="289">
        <f>SUBTOTAL(109,Inst[Column9])</f>
        <v>0</v>
      </c>
      <c r="L13" s="374">
        <f>IFERROR(Inst[[#Totals],[Column8]]/Inst[[#Totals],[Column7]],0)</f>
        <v>0</v>
      </c>
      <c r="M13" s="288">
        <f>SUBTOTAL(109,Inst[Column10])</f>
        <v>0</v>
      </c>
      <c r="N13" s="289">
        <f>SUBTOTAL(109,Inst[Column11])</f>
        <v>0</v>
      </c>
      <c r="O13" s="289">
        <f>SUBTOTAL(109,Inst[Column12])</f>
        <v>0</v>
      </c>
      <c r="P13" s="374">
        <f>IFERROR(Inst[[#Totals],[Column11]]/Inst[[#Totals],[Column10]],0)</f>
        <v>0</v>
      </c>
      <c r="Q13" s="538">
        <f>IFERROR(Inst[[#Totals],[Column10]]/Inst[[#Totals],[Column7]],0)</f>
        <v>0</v>
      </c>
      <c r="R13" s="288">
        <f>SUBTOTAL(109,Inst[Column23])</f>
        <v>0</v>
      </c>
      <c r="S13" s="281">
        <f>SUBTOTAL(109,Inst[Column27])</f>
        <v>0</v>
      </c>
      <c r="T13" s="281">
        <f>SUBTOTAL(109,Inst[Column28])</f>
        <v>0</v>
      </c>
      <c r="U13" s="374">
        <f>IFERROR(Inst[[#Totals],[Column27]]/Inst[[#Totals],[Column23]],0)</f>
        <v>0</v>
      </c>
      <c r="V13" s="288">
        <f>SUBTOTAL(109,Inst[Column15])</f>
        <v>0</v>
      </c>
      <c r="W13" s="281">
        <f>SUBTOTAL(109,Inst[Column16])</f>
        <v>0</v>
      </c>
      <c r="X13" s="281">
        <f>SUBTOTAL(109,Inst[Column17])</f>
        <v>0</v>
      </c>
      <c r="Y13" s="374">
        <f>IFERROR(Inst[[#Totals],[Column16]]/Inst[[#Totals],[Column15]],0)</f>
        <v>0</v>
      </c>
      <c r="Z13" s="385">
        <f>SUBTOTAL(109,Inst[Column19])</f>
        <v>0</v>
      </c>
      <c r="AA13" s="292">
        <f>SUBTOTAL(109,Inst[Column20])</f>
        <v>0</v>
      </c>
      <c r="AB13" s="292">
        <f>SUBTOTAL(109,Inst[Column21])</f>
        <v>0</v>
      </c>
      <c r="AC13" s="290">
        <f>IFERROR(Inst[[#Totals],[Column20]]/Inst[[#Totals],[Column19]],0)</f>
        <v>0</v>
      </c>
      <c r="AD13" s="291">
        <f>SUBTOTAL(109,Inst[Column24])</f>
        <v>0</v>
      </c>
      <c r="AE13" s="386">
        <f>SUBTOTAL(109,Inst[Column30])</f>
        <v>0</v>
      </c>
      <c r="AF13" s="292">
        <f>SUBTOTAL(109,Inst[Column29])</f>
        <v>0</v>
      </c>
      <c r="AG13" s="339">
        <f>IFERROR(Inst[[#Totals],[Column30]]/Inst[[#Totals],[Column24]],0)</f>
        <v>0</v>
      </c>
      <c r="AH13" s="340">
        <f>IFERROR(Inst[[#Totals],[Column24]]/Inst[[#Totals],[Column19]],0)</f>
        <v>0</v>
      </c>
      <c r="AI13" s="285"/>
    </row>
    <row r="14" spans="1:35" ht="18" thickBot="1" x14ac:dyDescent="0.25">
      <c r="A14" s="332" t="s">
        <v>122</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7"/>
    </row>
  </sheetData>
  <sheetProtection formatRows="0" insertRows="0" deleteRows="0" sort="0" autoFilter="0" pivotTables="0"/>
  <mergeCells count="11">
    <mergeCell ref="AD7:AG7"/>
    <mergeCell ref="I7:L7"/>
    <mergeCell ref="R7:U7"/>
    <mergeCell ref="V7:Y7"/>
    <mergeCell ref="Z7:AC7"/>
    <mergeCell ref="H7:H8"/>
    <mergeCell ref="A7:A8"/>
    <mergeCell ref="B7:B8"/>
    <mergeCell ref="C7:C8"/>
    <mergeCell ref="D7:F7"/>
    <mergeCell ref="G7:G8"/>
  </mergeCells>
  <dataValidations count="3">
    <dataValidation allowBlank="1" showInputMessage="1" showErrorMessage="1" prompt="Please fill in the cell with text" sqref="B9:F12" xr:uid="{F9AC3521-DE05-47AC-B1E7-A2A061FD2BE3}"/>
    <dataValidation type="decimal" allowBlank="1" showInputMessage="1" showErrorMessage="1" prompt="Input only numbers" sqref="AD9:AE12 Z9:AA12 V9:W12 R9:S12 M9:N12 I9:J12" xr:uid="{22985483-88D2-4E14-80A3-5142836EABF8}">
      <formula1>0</formula1>
      <formula2>100000000000</formula2>
    </dataValidation>
    <dataValidation type="custom" allowBlank="1" showInputMessage="1" showErrorMessage="1" errorTitle="NOTICE!" error="Please dont input any value, there's formula" promptTitle="NOTICE!" prompt="Please don't input any value in this cell, there is formula" sqref="K9:L12 O9:Q12 T9:U12 X9:Y12 AB9:AC12 AF9:AG12" xr:uid="{377E6336-DB87-4ECC-B4DB-F2CE2873EE81}">
      <formula1>"Please don't input any value in this cell, there is formula"</formula1>
    </dataValidation>
  </dataValidations>
  <pageMargins left="0.7" right="0.7" top="0.75" bottom="0.75" header="0.3" footer="0.3"/>
  <pageSetup paperSize="9" orientation="portrait" verticalDpi="4294967295"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35541-664C-486B-A526-9A96C76EFE54}">
  <dimension ref="A1:AI14"/>
  <sheetViews>
    <sheetView view="pageBreakPreview" topLeftCell="G6" zoomScale="50" zoomScaleNormal="55" zoomScaleSheetLayoutView="50" workbookViewId="0">
      <selection activeCell="N11" sqref="N11"/>
    </sheetView>
  </sheetViews>
  <sheetFormatPr baseColWidth="10" defaultColWidth="8.6640625" defaultRowHeight="17" x14ac:dyDescent="0.2"/>
  <cols>
    <col min="1" max="1" width="13.5" style="2" customWidth="1"/>
    <col min="2" max="2" width="32.33203125" style="2" customWidth="1"/>
    <col min="3" max="3" width="33.5" style="2" customWidth="1"/>
    <col min="4" max="4" width="29.5" style="2" customWidth="1"/>
    <col min="5" max="6" width="27.33203125" style="2" customWidth="1"/>
    <col min="7" max="8" width="36.1640625" style="2" customWidth="1"/>
    <col min="9" max="12" width="16.83203125" style="2" customWidth="1"/>
    <col min="13" max="15" width="14.83203125" style="2" customWidth="1"/>
    <col min="16" max="21" width="14.5" style="2" customWidth="1"/>
    <col min="22" max="22" width="20.33203125" style="2" customWidth="1"/>
    <col min="23" max="25" width="14.83203125" style="2" customWidth="1"/>
    <col min="26" max="28" width="15.1640625" style="2" customWidth="1"/>
    <col min="29" max="29" width="14.83203125" style="2" customWidth="1"/>
    <col min="30" max="30" width="33.5" style="2" customWidth="1"/>
    <col min="31" max="33" width="21" style="2" customWidth="1"/>
    <col min="34" max="34" width="27" style="2" customWidth="1"/>
    <col min="35" max="35" width="14.83203125" style="2" customWidth="1"/>
    <col min="36" max="16384" width="8.6640625" style="102"/>
  </cols>
  <sheetData>
    <row r="1" spans="1:35" ht="18" hidden="1" thickBot="1" x14ac:dyDescent="0.25">
      <c r="B1" s="3" t="s">
        <v>123</v>
      </c>
    </row>
    <row r="2" spans="1:35" hidden="1" x14ac:dyDescent="0.2">
      <c r="B2" s="26" t="s">
        <v>40</v>
      </c>
      <c r="C2" s="238">
        <f>'#1'!C2</f>
        <v>0</v>
      </c>
      <c r="D2" s="25" t="s">
        <v>41</v>
      </c>
      <c r="E2" s="239">
        <f>'#2'!E2</f>
        <v>0</v>
      </c>
      <c r="F2" s="105"/>
    </row>
    <row r="3" spans="1:35" hidden="1" x14ac:dyDescent="0.2">
      <c r="B3" s="106" t="s">
        <v>42</v>
      </c>
      <c r="C3" s="240">
        <f>'#1'!C3</f>
        <v>0</v>
      </c>
      <c r="D3" s="105" t="s">
        <v>43</v>
      </c>
      <c r="E3" s="241">
        <f>'#2'!E3</f>
        <v>0</v>
      </c>
      <c r="F3" s="105"/>
    </row>
    <row r="4" spans="1:35" ht="35" hidden="1" thickBot="1" x14ac:dyDescent="0.25">
      <c r="B4" s="13" t="s">
        <v>44</v>
      </c>
      <c r="C4" s="108">
        <f>'#1'!C4</f>
        <v>0</v>
      </c>
      <c r="D4" s="109" t="s">
        <v>45</v>
      </c>
      <c r="E4" s="242">
        <f>'#2'!E4</f>
        <v>0</v>
      </c>
      <c r="F4" s="15"/>
    </row>
    <row r="5" spans="1:35" ht="18" hidden="1" thickBot="1" x14ac:dyDescent="0.25"/>
    <row r="6" spans="1:35" s="2" customFormat="1" ht="83.5" customHeight="1" thickBot="1" x14ac:dyDescent="0.25">
      <c r="A6" s="525" t="s">
        <v>138</v>
      </c>
      <c r="B6" s="522"/>
      <c r="C6" s="522"/>
      <c r="D6" s="522"/>
      <c r="E6" s="522"/>
      <c r="F6" s="522"/>
      <c r="G6" s="522"/>
      <c r="H6" s="522"/>
      <c r="I6" s="522"/>
      <c r="J6" s="522"/>
      <c r="K6" s="522"/>
      <c r="L6" s="522"/>
      <c r="M6" s="522"/>
      <c r="N6" s="522"/>
      <c r="O6" s="522"/>
      <c r="P6" s="522"/>
      <c r="Q6" s="522"/>
      <c r="R6" s="522"/>
      <c r="S6" s="522"/>
      <c r="T6" s="522"/>
      <c r="U6" s="522"/>
      <c r="V6" s="522"/>
      <c r="W6" s="522"/>
      <c r="X6" s="522"/>
      <c r="Y6" s="522"/>
      <c r="Z6" s="522"/>
      <c r="AA6" s="522"/>
      <c r="AB6" s="522"/>
      <c r="AC6" s="522"/>
      <c r="AD6" s="522"/>
      <c r="AE6" s="522"/>
      <c r="AF6" s="522"/>
      <c r="AG6" s="522"/>
      <c r="AH6" s="522"/>
      <c r="AI6" s="523"/>
    </row>
    <row r="7" spans="1:35" s="2" customFormat="1" ht="83.5" customHeight="1" thickBot="1" x14ac:dyDescent="0.25">
      <c r="A7" s="623" t="s">
        <v>50</v>
      </c>
      <c r="B7" s="625" t="s">
        <v>116</v>
      </c>
      <c r="C7" s="627" t="s">
        <v>52</v>
      </c>
      <c r="D7" s="629" t="s">
        <v>53</v>
      </c>
      <c r="E7" s="630"/>
      <c r="F7" s="631"/>
      <c r="G7" s="632" t="s">
        <v>80</v>
      </c>
      <c r="H7" s="664" t="s">
        <v>81</v>
      </c>
      <c r="I7" s="668" t="s">
        <v>129</v>
      </c>
      <c r="J7" s="666"/>
      <c r="K7" s="666"/>
      <c r="L7" s="667"/>
      <c r="M7" s="511" t="s">
        <v>108</v>
      </c>
      <c r="N7" s="512"/>
      <c r="O7" s="512"/>
      <c r="P7" s="513"/>
      <c r="Q7" s="500" t="s">
        <v>150</v>
      </c>
      <c r="R7" s="668" t="s">
        <v>109</v>
      </c>
      <c r="S7" s="666"/>
      <c r="T7" s="666"/>
      <c r="U7" s="667"/>
      <c r="V7" s="629" t="s">
        <v>110</v>
      </c>
      <c r="W7" s="630"/>
      <c r="X7" s="630"/>
      <c r="Y7" s="631"/>
      <c r="Z7" s="636" t="s">
        <v>57</v>
      </c>
      <c r="AA7" s="637"/>
      <c r="AB7" s="637"/>
      <c r="AC7" s="638"/>
      <c r="AD7" s="661" t="s">
        <v>119</v>
      </c>
      <c r="AE7" s="662"/>
      <c r="AF7" s="662"/>
      <c r="AG7" s="663"/>
      <c r="AH7" s="314" t="s">
        <v>151</v>
      </c>
      <c r="AI7" s="315" t="s">
        <v>120</v>
      </c>
    </row>
    <row r="8" spans="1:35" s="2" customFormat="1" ht="41" thickBot="1" x14ac:dyDescent="0.25">
      <c r="A8" s="624"/>
      <c r="B8" s="626"/>
      <c r="C8" s="628"/>
      <c r="D8" s="201" t="s">
        <v>59</v>
      </c>
      <c r="E8" s="202" t="s">
        <v>86</v>
      </c>
      <c r="F8" s="203" t="s">
        <v>87</v>
      </c>
      <c r="G8" s="633"/>
      <c r="H8" s="665"/>
      <c r="I8" s="199" t="s">
        <v>64</v>
      </c>
      <c r="J8" s="204" t="s">
        <v>88</v>
      </c>
      <c r="K8" s="204" t="s">
        <v>89</v>
      </c>
      <c r="L8" s="200" t="s">
        <v>47</v>
      </c>
      <c r="M8" s="199" t="s">
        <v>64</v>
      </c>
      <c r="N8" s="204" t="s">
        <v>88</v>
      </c>
      <c r="O8" s="204" t="s">
        <v>89</v>
      </c>
      <c r="P8" s="200" t="s">
        <v>47</v>
      </c>
      <c r="Q8" s="503" t="s">
        <v>96</v>
      </c>
      <c r="R8" s="199" t="s">
        <v>64</v>
      </c>
      <c r="S8" s="204" t="s">
        <v>88</v>
      </c>
      <c r="T8" s="204" t="s">
        <v>89</v>
      </c>
      <c r="U8" s="200" t="s">
        <v>47</v>
      </c>
      <c r="V8" s="199" t="s">
        <v>64</v>
      </c>
      <c r="W8" s="204" t="s">
        <v>88</v>
      </c>
      <c r="X8" s="204" t="s">
        <v>89</v>
      </c>
      <c r="Y8" s="200" t="s">
        <v>47</v>
      </c>
      <c r="Z8" s="199" t="s">
        <v>90</v>
      </c>
      <c r="AA8" s="204" t="s">
        <v>91</v>
      </c>
      <c r="AB8" s="204" t="s">
        <v>92</v>
      </c>
      <c r="AC8" s="200" t="s">
        <v>47</v>
      </c>
      <c r="AD8" s="199" t="s">
        <v>90</v>
      </c>
      <c r="AE8" s="205" t="s">
        <v>93</v>
      </c>
      <c r="AF8" s="204" t="s">
        <v>94</v>
      </c>
      <c r="AG8" s="204" t="s">
        <v>95</v>
      </c>
      <c r="AH8" s="204" t="s">
        <v>96</v>
      </c>
      <c r="AI8" s="200" t="s">
        <v>97</v>
      </c>
    </row>
    <row r="9" spans="1:35" ht="83.5" customHeight="1" x14ac:dyDescent="0.2">
      <c r="A9" s="246">
        <v>1</v>
      </c>
      <c r="B9" s="62"/>
      <c r="C9" s="111" t="s">
        <v>121</v>
      </c>
      <c r="D9" s="111"/>
      <c r="E9" s="111"/>
      <c r="F9" s="111"/>
      <c r="G9" s="112"/>
      <c r="H9" s="113"/>
      <c r="I9" s="317">
        <v>0</v>
      </c>
      <c r="J9" s="10">
        <v>0</v>
      </c>
      <c r="K9" s="318">
        <f>Insp[[#This Row],[Column7]]-Insp[[#This Row],[Column8]]</f>
        <v>0</v>
      </c>
      <c r="L9" s="319">
        <f>IFERROR(Insp[[#This Row],[Column8]]/Insp[[#This Row],[Column7]],0)</f>
        <v>0</v>
      </c>
      <c r="M9" s="317">
        <v>0</v>
      </c>
      <c r="N9" s="10">
        <v>0</v>
      </c>
      <c r="O9" s="318">
        <f>Insp[[#This Row],[Column10]]-Insp[[#This Row],[Column11]]</f>
        <v>0</v>
      </c>
      <c r="P9" s="319">
        <f>IFERROR(N9/M9,0)</f>
        <v>0</v>
      </c>
      <c r="Q9" s="319">
        <f>IFERROR(Insp[[#This Row],[Column10]]/Insp[[#This Row],[Column7]],0)</f>
        <v>0</v>
      </c>
      <c r="R9" s="317">
        <v>0</v>
      </c>
      <c r="S9" s="10">
        <v>0</v>
      </c>
      <c r="T9" s="318">
        <f>Insp[[#This Row],[Column23]]-Insp[[#This Row],[Column27]]</f>
        <v>0</v>
      </c>
      <c r="U9" s="389">
        <f>IFERROR(Insp[[#This Row],[Column27]]/Insp[[#This Row],[Column23]],0)</f>
        <v>0</v>
      </c>
      <c r="V9" s="317">
        <v>0</v>
      </c>
      <c r="W9" s="10">
        <v>0</v>
      </c>
      <c r="X9" s="318">
        <f>Insp[[#This Row],[Column15]]-Insp[[#This Row],[Column16]]</f>
        <v>0</v>
      </c>
      <c r="Y9" s="389">
        <f>IFERROR(W9/V9,0)</f>
        <v>0</v>
      </c>
      <c r="Z9" s="320">
        <v>0</v>
      </c>
      <c r="AA9" s="34">
        <v>0</v>
      </c>
      <c r="AB9" s="321">
        <f>Insp[[#This Row],[Column19]]-Insp[[#This Row],[Column20]]</f>
        <v>0</v>
      </c>
      <c r="AC9" s="322">
        <f>IFERROR(AA9/Z9,0)</f>
        <v>0</v>
      </c>
      <c r="AD9" s="323">
        <v>0</v>
      </c>
      <c r="AE9" s="324">
        <v>0</v>
      </c>
      <c r="AF9" s="321">
        <f>Insp[[#This Row],[Column24]]-Insp[[#This Row],[Column30]]</f>
        <v>0</v>
      </c>
      <c r="AG9" s="390">
        <f>IFERROR(Insp[[#This Row],[Column30]]/Insp[[#This Row],[Column24]],0)</f>
        <v>0</v>
      </c>
      <c r="AH9" s="35">
        <f>IFERROR(Insp[[#This Row],[Column24]]/Insp[[#This Row],[Column19]],0)</f>
        <v>0</v>
      </c>
      <c r="AI9" s="325"/>
    </row>
    <row r="10" spans="1:35" ht="83.5" customHeight="1" x14ac:dyDescent="0.2">
      <c r="A10" s="246">
        <v>2</v>
      </c>
      <c r="B10" s="62"/>
      <c r="C10" s="111" t="s">
        <v>121</v>
      </c>
      <c r="D10" s="111"/>
      <c r="E10" s="111"/>
      <c r="F10" s="111"/>
      <c r="G10" s="126"/>
      <c r="H10" s="127"/>
      <c r="I10" s="118">
        <v>0</v>
      </c>
      <c r="J10" s="119">
        <v>0</v>
      </c>
      <c r="K10" s="120">
        <f>Insp[[#This Row],[Column7]]-Insp[[#This Row],[Column8]]</f>
        <v>0</v>
      </c>
      <c r="L10" s="81">
        <f>IFERROR(Insp[[#This Row],[Column8]]/Insp[[#This Row],[Column7]],0)</f>
        <v>0</v>
      </c>
      <c r="M10" s="118">
        <v>0</v>
      </c>
      <c r="N10" s="119">
        <v>0</v>
      </c>
      <c r="O10" s="120">
        <f>Insp[[#This Row],[Column10]]-Insp[[#This Row],[Column11]]</f>
        <v>0</v>
      </c>
      <c r="P10" s="81">
        <f t="shared" ref="P10:P12" si="0">IFERROR(N10/M10,0)</f>
        <v>0</v>
      </c>
      <c r="Q10" s="81">
        <f>IFERROR(Insp[[#This Row],[Column10]]/Insp[[#This Row],[Column7]],0)</f>
        <v>0</v>
      </c>
      <c r="R10" s="118">
        <v>0</v>
      </c>
      <c r="S10" s="119">
        <v>0</v>
      </c>
      <c r="T10" s="120">
        <f>Insp[[#This Row],[Column23]]-Insp[[#This Row],[Column27]]</f>
        <v>0</v>
      </c>
      <c r="U10" s="256">
        <f>IFERROR(Insp[[#This Row],[Column27]]/Insp[[#This Row],[Column23]],0)</f>
        <v>0</v>
      </c>
      <c r="V10" s="118">
        <v>0</v>
      </c>
      <c r="W10" s="119">
        <v>0</v>
      </c>
      <c r="X10" s="120">
        <f>Insp[[#This Row],[Column15]]-Insp[[#This Row],[Column16]]</f>
        <v>0</v>
      </c>
      <c r="Y10" s="256">
        <f t="shared" ref="Y10:Y12" si="1">IFERROR(W10/V10,0)</f>
        <v>0</v>
      </c>
      <c r="Z10" s="121">
        <v>0</v>
      </c>
      <c r="AA10" s="122">
        <v>0</v>
      </c>
      <c r="AB10" s="123">
        <f>Insp[[#This Row],[Column19]]-Insp[[#This Row],[Column20]]</f>
        <v>0</v>
      </c>
      <c r="AC10" s="82">
        <f t="shared" ref="AC10:AC12" si="2">IFERROR(AA10/Z10,0)</f>
        <v>0</v>
      </c>
      <c r="AD10" s="124">
        <v>0</v>
      </c>
      <c r="AE10" s="125">
        <v>0</v>
      </c>
      <c r="AF10" s="123">
        <f>Insp[[#This Row],[Column24]]-Insp[[#This Row],[Column30]]</f>
        <v>0</v>
      </c>
      <c r="AG10" s="86">
        <f>IFERROR(Insp[[#This Row],[Column30]]/Insp[[#This Row],[Column24]],0)</f>
        <v>0</v>
      </c>
      <c r="AH10" s="6">
        <f>IFERROR(Insp[[#This Row],[Column24]]/Insp[[#This Row],[Column19]],0)</f>
        <v>0</v>
      </c>
      <c r="AI10" s="130"/>
    </row>
    <row r="11" spans="1:35" ht="83.5" customHeight="1" x14ac:dyDescent="0.2">
      <c r="A11" s="246">
        <v>3</v>
      </c>
      <c r="B11" s="62"/>
      <c r="C11" s="111" t="s">
        <v>121</v>
      </c>
      <c r="D11" s="111"/>
      <c r="E11" s="111"/>
      <c r="F11" s="111"/>
      <c r="G11" s="126"/>
      <c r="H11" s="127"/>
      <c r="I11" s="118">
        <v>0</v>
      </c>
      <c r="J11" s="119">
        <v>0</v>
      </c>
      <c r="K11" s="120">
        <f>Insp[[#This Row],[Column7]]-Insp[[#This Row],[Column8]]</f>
        <v>0</v>
      </c>
      <c r="L11" s="81">
        <f>IFERROR(Insp[[#This Row],[Column8]]/Insp[[#This Row],[Column7]],0)</f>
        <v>0</v>
      </c>
      <c r="M11" s="118">
        <v>0</v>
      </c>
      <c r="N11" s="119">
        <v>0</v>
      </c>
      <c r="O11" s="120">
        <f>Insp[[#This Row],[Column10]]-Insp[[#This Row],[Column11]]</f>
        <v>0</v>
      </c>
      <c r="P11" s="81">
        <f t="shared" si="0"/>
        <v>0</v>
      </c>
      <c r="Q11" s="81">
        <f>IFERROR(Insp[[#This Row],[Column10]]/Insp[[#This Row],[Column7]],0)</f>
        <v>0</v>
      </c>
      <c r="R11" s="118">
        <v>0</v>
      </c>
      <c r="S11" s="119">
        <v>0</v>
      </c>
      <c r="T11" s="120">
        <f>Insp[[#This Row],[Column23]]-Insp[[#This Row],[Column27]]</f>
        <v>0</v>
      </c>
      <c r="U11" s="256">
        <f>IFERROR(Insp[[#This Row],[Column27]]/Insp[[#This Row],[Column23]],0)</f>
        <v>0</v>
      </c>
      <c r="V11" s="118">
        <v>0</v>
      </c>
      <c r="W11" s="119">
        <v>0</v>
      </c>
      <c r="X11" s="120">
        <f>Insp[[#This Row],[Column15]]-Insp[[#This Row],[Column16]]</f>
        <v>0</v>
      </c>
      <c r="Y11" s="256">
        <f t="shared" si="1"/>
        <v>0</v>
      </c>
      <c r="Z11" s="121">
        <v>0</v>
      </c>
      <c r="AA11" s="122">
        <v>0</v>
      </c>
      <c r="AB11" s="123">
        <f>Insp[[#This Row],[Column19]]-Insp[[#This Row],[Column20]]</f>
        <v>0</v>
      </c>
      <c r="AC11" s="82">
        <f t="shared" si="2"/>
        <v>0</v>
      </c>
      <c r="AD11" s="124">
        <v>0</v>
      </c>
      <c r="AE11" s="125">
        <v>0</v>
      </c>
      <c r="AF11" s="123">
        <f>Insp[[#This Row],[Column24]]-Insp[[#This Row],[Column30]]</f>
        <v>0</v>
      </c>
      <c r="AG11" s="86">
        <f>IFERROR(Insp[[#This Row],[Column30]]/Insp[[#This Row],[Column24]],0)</f>
        <v>0</v>
      </c>
      <c r="AH11" s="6">
        <f>IFERROR(Insp[[#This Row],[Column24]]/Insp[[#This Row],[Column19]],0)</f>
        <v>0</v>
      </c>
      <c r="AI11" s="36"/>
    </row>
    <row r="12" spans="1:35" ht="73" thickBot="1" x14ac:dyDescent="0.25">
      <c r="A12" s="246">
        <v>4</v>
      </c>
      <c r="B12" s="62"/>
      <c r="C12" s="111" t="s">
        <v>121</v>
      </c>
      <c r="D12" s="111"/>
      <c r="E12" s="111"/>
      <c r="F12" s="111"/>
      <c r="G12" s="131"/>
      <c r="H12" s="132"/>
      <c r="I12" s="137">
        <v>0</v>
      </c>
      <c r="J12" s="75">
        <v>0</v>
      </c>
      <c r="K12" s="138">
        <f>Insp[[#This Row],[Column7]]-Insp[[#This Row],[Column8]]</f>
        <v>0</v>
      </c>
      <c r="L12" s="83">
        <f>IFERROR(Insp[[#This Row],[Column8]]/Insp[[#This Row],[Column7]],0)</f>
        <v>0</v>
      </c>
      <c r="M12" s="137">
        <v>0</v>
      </c>
      <c r="N12" s="75">
        <v>0</v>
      </c>
      <c r="O12" s="138">
        <f>Insp[[#This Row],[Column10]]-Insp[[#This Row],[Column11]]</f>
        <v>0</v>
      </c>
      <c r="P12" s="83">
        <f t="shared" si="0"/>
        <v>0</v>
      </c>
      <c r="Q12" s="83">
        <f>IFERROR(Insp[[#This Row],[Column10]]/Insp[[#This Row],[Column7]],0)</f>
        <v>0</v>
      </c>
      <c r="R12" s="137">
        <v>0</v>
      </c>
      <c r="S12" s="75">
        <v>0</v>
      </c>
      <c r="T12" s="138">
        <f>Insp[[#This Row],[Column23]]-Insp[[#This Row],[Column27]]</f>
        <v>0</v>
      </c>
      <c r="U12" s="387">
        <f>IFERROR(Insp[[#This Row],[Column27]]/Insp[[#This Row],[Column23]],0)</f>
        <v>0</v>
      </c>
      <c r="V12" s="137">
        <v>0</v>
      </c>
      <c r="W12" s="75">
        <v>0</v>
      </c>
      <c r="X12" s="138">
        <f>Insp[[#This Row],[Column15]]-Insp[[#This Row],[Column16]]</f>
        <v>0</v>
      </c>
      <c r="Y12" s="387">
        <f t="shared" si="1"/>
        <v>0</v>
      </c>
      <c r="Z12" s="139">
        <v>0</v>
      </c>
      <c r="AA12" s="140">
        <v>0</v>
      </c>
      <c r="AB12" s="141">
        <f>Insp[[#This Row],[Column19]]-Insp[[#This Row],[Column20]]</f>
        <v>0</v>
      </c>
      <c r="AC12" s="84">
        <f t="shared" si="2"/>
        <v>0</v>
      </c>
      <c r="AD12" s="142">
        <v>0</v>
      </c>
      <c r="AE12" s="143">
        <v>0</v>
      </c>
      <c r="AF12" s="141">
        <f>Insp[[#This Row],[Column24]]-Insp[[#This Row],[Column30]]</f>
        <v>0</v>
      </c>
      <c r="AG12" s="388">
        <f>IFERROR(Insp[[#This Row],[Column30]]/Insp[[#This Row],[Column24]],0)</f>
        <v>0</v>
      </c>
      <c r="AH12" s="144">
        <f>IFERROR(Insp[[#This Row],[Column24]]/Insp[[#This Row],[Column19]],0)</f>
        <v>0</v>
      </c>
      <c r="AI12" s="85"/>
    </row>
    <row r="13" spans="1:35" ht="83.5" customHeight="1" thickBot="1" x14ac:dyDescent="0.25">
      <c r="A13" s="261"/>
      <c r="B13" s="281"/>
      <c r="C13" s="282"/>
      <c r="D13" s="377" t="s">
        <v>70</v>
      </c>
      <c r="E13" s="284"/>
      <c r="F13" s="285"/>
      <c r="G13" s="383"/>
      <c r="H13" s="384"/>
      <c r="I13" s="288">
        <f>SUBTOTAL(109,Insp[Column7])</f>
        <v>0</v>
      </c>
      <c r="J13" s="289">
        <f>SUBTOTAL(109,Insp[Column8])</f>
        <v>0</v>
      </c>
      <c r="K13" s="289">
        <f>SUBTOTAL(109,Insp[Column9])</f>
        <v>0</v>
      </c>
      <c r="L13" s="391">
        <f>IFERROR(Insp[[#Totals],[Column8]]/Insp[[#Totals],[Column7]],0)</f>
        <v>0</v>
      </c>
      <c r="M13" s="288">
        <f>SUBTOTAL(109,Insp[Column10])</f>
        <v>0</v>
      </c>
      <c r="N13" s="289">
        <f>SUBTOTAL(109,Insp[Column11])</f>
        <v>0</v>
      </c>
      <c r="O13" s="289">
        <f>SUBTOTAL(109,Insp[Column12])</f>
        <v>0</v>
      </c>
      <c r="P13" s="391">
        <f>IFERROR(Insp[[#Totals],[Column11]]/Insp[[#Totals],[Column10]],0)</f>
        <v>0</v>
      </c>
      <c r="Q13" s="539">
        <f>IFERROR(Insp[[#Totals],[Column10]]/Insp[[#Totals],[Column7]],0)</f>
        <v>0</v>
      </c>
      <c r="R13" s="288">
        <f>SUBTOTAL(109,Insp[Column23])</f>
        <v>0</v>
      </c>
      <c r="S13" s="281">
        <f>SUBTOTAL(109,Insp[Column27])</f>
        <v>0</v>
      </c>
      <c r="T13" s="281">
        <f>SUBTOTAL(109,Insp[Column28])</f>
        <v>0</v>
      </c>
      <c r="U13" s="391">
        <f>IFERROR(Insp[[#Totals],[Column27]]/Insp[[#Totals],[Column23]],0)</f>
        <v>0</v>
      </c>
      <c r="V13" s="288">
        <f>SUBTOTAL(109,Insp[Column15])</f>
        <v>0</v>
      </c>
      <c r="W13" s="281">
        <f>SUBTOTAL(109,Insp[Column16])</f>
        <v>0</v>
      </c>
      <c r="X13" s="281">
        <f>SUBTOTAL(109,Insp[Column17])</f>
        <v>0</v>
      </c>
      <c r="Y13" s="391">
        <f>IFERROR(Insp[[#Totals],[Column16]]/Insp[[#Totals],[Column15]],0)</f>
        <v>0</v>
      </c>
      <c r="Z13" s="385">
        <f>SUBTOTAL(109,Insp[Column19])</f>
        <v>0</v>
      </c>
      <c r="AA13" s="292">
        <f>SUBTOTAL(109,Insp[Column20])</f>
        <v>0</v>
      </c>
      <c r="AB13" s="292">
        <f>SUBTOTAL(109,Insp[Column21])</f>
        <v>0</v>
      </c>
      <c r="AC13" s="392">
        <f>IFERROR(Insp[[#Totals],[Column20]]/Insp[[#Totals],[Column19]],0)</f>
        <v>0</v>
      </c>
      <c r="AD13" s="291">
        <f>SUBTOTAL(109,Insp[Column24])</f>
        <v>0</v>
      </c>
      <c r="AE13" s="386">
        <f>SUBTOTAL(109,Insp[Column30])</f>
        <v>0</v>
      </c>
      <c r="AF13" s="292">
        <f>SUBTOTAL(109,Insp[Column29])</f>
        <v>0</v>
      </c>
      <c r="AG13" s="393">
        <f>IFERROR(Insp[[#Totals],[Column30]]/Insp[[#Totals],[Column24]],0)</f>
        <v>0</v>
      </c>
      <c r="AH13" s="340">
        <f>IFERROR(Insp[[#Totals],[Column24]]/Insp[[#Totals],[Column19]],0)</f>
        <v>0</v>
      </c>
      <c r="AI13" s="285"/>
    </row>
    <row r="14" spans="1:35" ht="18" thickBot="1" x14ac:dyDescent="0.25">
      <c r="A14" s="332" t="s">
        <v>122</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7"/>
    </row>
  </sheetData>
  <sheetProtection formatRows="0" insertRows="0" deleteRows="0" sort="0" autoFilter="0" pivotTables="0"/>
  <mergeCells count="11">
    <mergeCell ref="AD7:AG7"/>
    <mergeCell ref="I7:L7"/>
    <mergeCell ref="R7:U7"/>
    <mergeCell ref="V7:Y7"/>
    <mergeCell ref="Z7:AC7"/>
    <mergeCell ref="H7:H8"/>
    <mergeCell ref="A7:A8"/>
    <mergeCell ref="B7:B8"/>
    <mergeCell ref="C7:C8"/>
    <mergeCell ref="D7:F7"/>
    <mergeCell ref="G7:G8"/>
  </mergeCells>
  <dataValidations count="3">
    <dataValidation allowBlank="1" showInputMessage="1" showErrorMessage="1" prompt="Please fill in the cell with text" sqref="B9:F12" xr:uid="{59DD926D-8E08-44BC-BCCB-2E6E154A9BE8}"/>
    <dataValidation type="decimal" allowBlank="1" showInputMessage="1" showErrorMessage="1" prompt="Input only numbers" sqref="I9:J12 M9:N12 R9:S12 V9:W12 Z9:AA12 AD9:AE12" xr:uid="{95AA75F7-84AE-45FA-B4CF-4963D4A9BBD7}">
      <formula1>0</formula1>
      <formula2>100000000000</formula2>
    </dataValidation>
    <dataValidation type="custom" allowBlank="1" showInputMessage="1" showErrorMessage="1" errorTitle="NOTICE!" error="Please don't inout any value in this cell, there is formula" promptTitle="NOTICE!" prompt="Please don't inout any value in this cell, there is formula" sqref="T9:U12 X9:Y12 AB9:AC12 AF9:AG12 K9:L12 O9:Q12" xr:uid="{0C9D680E-6C31-46C2-8F94-BD1758AC16C6}">
      <formula1>"Please don't inout any value in this cell, there is formula"</formula1>
    </dataValidation>
  </dataValidations>
  <pageMargins left="0.7" right="0.7" top="0.75" bottom="0.75" header="0.3" footer="0.3"/>
  <pageSetup paperSize="9" orientation="portrait" verticalDpi="4294967295"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FDE1A-C45F-4A3F-84C8-749AC5DD816C}">
  <dimension ref="A1:AI14"/>
  <sheetViews>
    <sheetView view="pageBreakPreview" topLeftCell="A6" zoomScale="40" zoomScaleNormal="55" zoomScaleSheetLayoutView="40" workbookViewId="0">
      <selection activeCell="M40" sqref="M40"/>
    </sheetView>
  </sheetViews>
  <sheetFormatPr baseColWidth="10" defaultColWidth="8.6640625" defaultRowHeight="17" x14ac:dyDescent="0.2"/>
  <cols>
    <col min="1" max="1" width="13.5" style="2" customWidth="1"/>
    <col min="2" max="2" width="32.33203125" style="2" customWidth="1"/>
    <col min="3" max="3" width="33.5" style="2" customWidth="1"/>
    <col min="4" max="4" width="29.5" style="2" customWidth="1"/>
    <col min="5" max="6" width="27.33203125" style="2" customWidth="1"/>
    <col min="7" max="8" width="36.1640625" style="2" customWidth="1"/>
    <col min="9" max="9" width="12.5" style="257" customWidth="1"/>
    <col min="10" max="11" width="12.5" style="2" customWidth="1"/>
    <col min="12" max="12" width="12.5" style="258" customWidth="1"/>
    <col min="13" max="13" width="14.83203125" style="257" customWidth="1"/>
    <col min="14" max="15" width="14.83203125" style="2" customWidth="1"/>
    <col min="16" max="17" width="14.83203125" style="258" customWidth="1"/>
    <col min="18" max="18" width="14.83203125" style="257" customWidth="1"/>
    <col min="19" max="20" width="14.83203125" style="2" customWidth="1"/>
    <col min="21" max="21" width="14.83203125" style="258" customWidth="1"/>
    <col min="22" max="22" width="20.33203125" style="257" customWidth="1"/>
    <col min="23" max="24" width="14.83203125" style="2" customWidth="1"/>
    <col min="25" max="25" width="14.83203125" style="258" customWidth="1"/>
    <col min="26" max="26" width="15.1640625" style="257" customWidth="1"/>
    <col min="27" max="28" width="15.1640625" style="2" customWidth="1"/>
    <col min="29" max="29" width="14.83203125" style="258" customWidth="1"/>
    <col min="30" max="30" width="33.5" style="2" customWidth="1"/>
    <col min="31" max="32" width="21" style="2" customWidth="1"/>
    <col min="33" max="33" width="21" style="259" customWidth="1"/>
    <col min="34" max="34" width="27" style="257" customWidth="1"/>
    <col min="35" max="35" width="14.83203125" style="2" customWidth="1"/>
    <col min="36" max="16384" width="8.6640625" style="102"/>
  </cols>
  <sheetData>
    <row r="1" spans="1:35" s="545" customFormat="1" ht="15.5" hidden="1" customHeight="1" x14ac:dyDescent="0.2">
      <c r="A1" s="540"/>
      <c r="B1" s="541" t="s">
        <v>123</v>
      </c>
      <c r="C1" s="540"/>
      <c r="D1" s="540"/>
      <c r="E1" s="540"/>
      <c r="F1" s="540"/>
      <c r="G1" s="540"/>
      <c r="H1" s="540"/>
      <c r="I1" s="542"/>
      <c r="J1" s="540"/>
      <c r="K1" s="540"/>
      <c r="L1" s="543"/>
      <c r="M1" s="542"/>
      <c r="N1" s="540"/>
      <c r="O1" s="540"/>
      <c r="P1" s="543"/>
      <c r="Q1" s="543"/>
      <c r="R1" s="542"/>
      <c r="S1" s="540"/>
      <c r="T1" s="540"/>
      <c r="U1" s="543"/>
      <c r="V1" s="542"/>
      <c r="W1" s="540"/>
      <c r="X1" s="540"/>
      <c r="Y1" s="543"/>
      <c r="Z1" s="542"/>
      <c r="AA1" s="540"/>
      <c r="AB1" s="540"/>
      <c r="AC1" s="543"/>
      <c r="AD1" s="540"/>
      <c r="AE1" s="540"/>
      <c r="AF1" s="540"/>
      <c r="AG1" s="544"/>
      <c r="AH1" s="542"/>
      <c r="AI1" s="540"/>
    </row>
    <row r="2" spans="1:35" s="545" customFormat="1" ht="15.5" hidden="1" customHeight="1" x14ac:dyDescent="0.2">
      <c r="A2" s="540"/>
      <c r="B2" s="546" t="s">
        <v>40</v>
      </c>
      <c r="C2" s="547">
        <f>'#1'!C2</f>
        <v>0</v>
      </c>
      <c r="D2" s="548" t="s">
        <v>41</v>
      </c>
      <c r="E2" s="549">
        <f>'#2'!E2</f>
        <v>0</v>
      </c>
      <c r="F2" s="550"/>
      <c r="G2" s="540"/>
      <c r="H2" s="540"/>
      <c r="I2" s="542"/>
      <c r="J2" s="540"/>
      <c r="K2" s="540"/>
      <c r="L2" s="543"/>
      <c r="M2" s="542"/>
      <c r="N2" s="540"/>
      <c r="O2" s="540"/>
      <c r="P2" s="543"/>
      <c r="Q2" s="543"/>
      <c r="R2" s="542"/>
      <c r="S2" s="540"/>
      <c r="T2" s="540"/>
      <c r="U2" s="543"/>
      <c r="V2" s="542"/>
      <c r="W2" s="540"/>
      <c r="X2" s="540"/>
      <c r="Y2" s="543"/>
      <c r="Z2" s="542"/>
      <c r="AA2" s="540"/>
      <c r="AB2" s="540"/>
      <c r="AC2" s="543"/>
      <c r="AD2" s="540"/>
      <c r="AE2" s="540"/>
      <c r="AF2" s="540"/>
      <c r="AG2" s="544"/>
      <c r="AH2" s="542"/>
      <c r="AI2" s="540"/>
    </row>
    <row r="3" spans="1:35" s="545" customFormat="1" ht="15.5" hidden="1" customHeight="1" x14ac:dyDescent="0.2">
      <c r="A3" s="540"/>
      <c r="B3" s="551" t="s">
        <v>42</v>
      </c>
      <c r="C3" s="552">
        <f>'#1'!C3</f>
        <v>0</v>
      </c>
      <c r="D3" s="550" t="s">
        <v>43</v>
      </c>
      <c r="E3" s="553">
        <f>'#2'!E3</f>
        <v>0</v>
      </c>
      <c r="F3" s="550"/>
      <c r="G3" s="540"/>
      <c r="H3" s="540"/>
      <c r="I3" s="542"/>
      <c r="J3" s="540"/>
      <c r="K3" s="540"/>
      <c r="L3" s="543"/>
      <c r="M3" s="542"/>
      <c r="N3" s="540"/>
      <c r="O3" s="540"/>
      <c r="P3" s="543"/>
      <c r="Q3" s="543"/>
      <c r="R3" s="542"/>
      <c r="S3" s="540"/>
      <c r="T3" s="540"/>
      <c r="U3" s="543"/>
      <c r="V3" s="542"/>
      <c r="W3" s="540"/>
      <c r="X3" s="540"/>
      <c r="Y3" s="543"/>
      <c r="Z3" s="542"/>
      <c r="AA3" s="540"/>
      <c r="AB3" s="540"/>
      <c r="AC3" s="543"/>
      <c r="AD3" s="540"/>
      <c r="AE3" s="540"/>
      <c r="AF3" s="540"/>
      <c r="AG3" s="544"/>
      <c r="AH3" s="542"/>
      <c r="AI3" s="540"/>
    </row>
    <row r="4" spans="1:35" s="545" customFormat="1" ht="31" hidden="1" customHeight="1" x14ac:dyDescent="0.2">
      <c r="A4" s="540"/>
      <c r="B4" s="554" t="s">
        <v>44</v>
      </c>
      <c r="C4" s="555">
        <f>'#1'!C4</f>
        <v>0</v>
      </c>
      <c r="D4" s="556" t="s">
        <v>45</v>
      </c>
      <c r="E4" s="557">
        <f>'#2'!E4</f>
        <v>0</v>
      </c>
      <c r="F4" s="558"/>
      <c r="G4" s="540"/>
      <c r="H4" s="540"/>
      <c r="I4" s="542"/>
      <c r="J4" s="540"/>
      <c r="K4" s="540"/>
      <c r="L4" s="543"/>
      <c r="M4" s="542"/>
      <c r="N4" s="540"/>
      <c r="O4" s="540"/>
      <c r="P4" s="543"/>
      <c r="Q4" s="543"/>
      <c r="R4" s="542"/>
      <c r="S4" s="540"/>
      <c r="T4" s="540"/>
      <c r="U4" s="543"/>
      <c r="V4" s="542"/>
      <c r="W4" s="540"/>
      <c r="X4" s="540"/>
      <c r="Y4" s="543"/>
      <c r="Z4" s="542"/>
      <c r="AA4" s="540"/>
      <c r="AB4" s="540"/>
      <c r="AC4" s="543"/>
      <c r="AD4" s="540"/>
      <c r="AE4" s="540"/>
      <c r="AF4" s="540"/>
      <c r="AG4" s="544"/>
      <c r="AH4" s="542"/>
      <c r="AI4" s="540"/>
    </row>
    <row r="5" spans="1:35" s="545" customFormat="1" ht="16" hidden="1" customHeight="1" thickBot="1" x14ac:dyDescent="0.25">
      <c r="A5" s="540"/>
      <c r="B5" s="540"/>
      <c r="C5" s="540"/>
      <c r="D5" s="540"/>
      <c r="E5" s="540"/>
      <c r="F5" s="540"/>
      <c r="G5" s="540"/>
      <c r="H5" s="540"/>
      <c r="I5" s="542"/>
      <c r="J5" s="540"/>
      <c r="K5" s="540"/>
      <c r="L5" s="543"/>
      <c r="M5" s="542"/>
      <c r="N5" s="540"/>
      <c r="O5" s="540"/>
      <c r="P5" s="543"/>
      <c r="Q5" s="543"/>
      <c r="R5" s="542"/>
      <c r="S5" s="540"/>
      <c r="T5" s="540"/>
      <c r="U5" s="543"/>
      <c r="V5" s="542"/>
      <c r="W5" s="540"/>
      <c r="X5" s="540"/>
      <c r="Y5" s="543"/>
      <c r="Z5" s="542"/>
      <c r="AA5" s="540"/>
      <c r="AB5" s="540"/>
      <c r="AC5" s="543"/>
      <c r="AD5" s="540"/>
      <c r="AE5" s="540"/>
      <c r="AF5" s="540"/>
      <c r="AG5" s="544"/>
      <c r="AH5" s="542"/>
      <c r="AI5" s="540"/>
    </row>
    <row r="6" spans="1:35" s="2" customFormat="1" ht="83.5" customHeight="1" thickBot="1" x14ac:dyDescent="0.25">
      <c r="A6" s="525" t="s">
        <v>139</v>
      </c>
      <c r="B6" s="522"/>
      <c r="C6" s="522"/>
      <c r="D6" s="522"/>
      <c r="E6" s="522"/>
      <c r="F6" s="522"/>
      <c r="G6" s="522"/>
      <c r="H6" s="522"/>
      <c r="I6" s="522"/>
      <c r="J6" s="522"/>
      <c r="K6" s="522"/>
      <c r="L6" s="522"/>
      <c r="M6" s="522"/>
      <c r="N6" s="522"/>
      <c r="O6" s="522"/>
      <c r="P6" s="522"/>
      <c r="Q6" s="522"/>
      <c r="R6" s="522"/>
      <c r="S6" s="522"/>
      <c r="T6" s="522"/>
      <c r="U6" s="522"/>
      <c r="V6" s="522"/>
      <c r="W6" s="522"/>
      <c r="X6" s="522"/>
      <c r="Y6" s="522"/>
      <c r="Z6" s="522"/>
      <c r="AA6" s="522"/>
      <c r="AB6" s="522"/>
      <c r="AC6" s="522"/>
      <c r="AD6" s="522"/>
      <c r="AE6" s="522"/>
      <c r="AF6" s="522"/>
      <c r="AG6" s="522"/>
      <c r="AH6" s="522"/>
      <c r="AI6" s="523"/>
    </row>
    <row r="7" spans="1:35" s="2" customFormat="1" ht="83.5" customHeight="1" thickBot="1" x14ac:dyDescent="0.25">
      <c r="A7" s="623" t="s">
        <v>50</v>
      </c>
      <c r="B7" s="625" t="s">
        <v>116</v>
      </c>
      <c r="C7" s="627" t="s">
        <v>52</v>
      </c>
      <c r="D7" s="629" t="s">
        <v>53</v>
      </c>
      <c r="E7" s="630"/>
      <c r="F7" s="631"/>
      <c r="G7" s="632" t="s">
        <v>80</v>
      </c>
      <c r="H7" s="664" t="s">
        <v>81</v>
      </c>
      <c r="I7" s="668" t="s">
        <v>129</v>
      </c>
      <c r="J7" s="666"/>
      <c r="K7" s="666"/>
      <c r="L7" s="667"/>
      <c r="M7" s="511" t="s">
        <v>108</v>
      </c>
      <c r="N7" s="512"/>
      <c r="O7" s="512"/>
      <c r="P7" s="513"/>
      <c r="Q7" s="500" t="s">
        <v>150</v>
      </c>
      <c r="R7" s="668" t="s">
        <v>109</v>
      </c>
      <c r="S7" s="666"/>
      <c r="T7" s="666"/>
      <c r="U7" s="667"/>
      <c r="V7" s="629" t="s">
        <v>110</v>
      </c>
      <c r="W7" s="630"/>
      <c r="X7" s="630"/>
      <c r="Y7" s="631"/>
      <c r="Z7" s="636" t="s">
        <v>57</v>
      </c>
      <c r="AA7" s="637"/>
      <c r="AB7" s="637"/>
      <c r="AC7" s="638"/>
      <c r="AD7" s="661" t="s">
        <v>119</v>
      </c>
      <c r="AE7" s="662"/>
      <c r="AF7" s="662"/>
      <c r="AG7" s="663"/>
      <c r="AH7" s="314" t="s">
        <v>151</v>
      </c>
      <c r="AI7" s="315" t="s">
        <v>120</v>
      </c>
    </row>
    <row r="8" spans="1:35" s="2" customFormat="1" ht="83.5" customHeight="1" thickBot="1" x14ac:dyDescent="0.25">
      <c r="A8" s="624"/>
      <c r="B8" s="626"/>
      <c r="C8" s="628"/>
      <c r="D8" s="201" t="s">
        <v>59</v>
      </c>
      <c r="E8" s="202" t="s">
        <v>86</v>
      </c>
      <c r="F8" s="203" t="s">
        <v>87</v>
      </c>
      <c r="G8" s="633"/>
      <c r="H8" s="665"/>
      <c r="I8" s="394" t="s">
        <v>64</v>
      </c>
      <c r="J8" s="204" t="s">
        <v>88</v>
      </c>
      <c r="K8" s="204" t="s">
        <v>89</v>
      </c>
      <c r="L8" s="395" t="s">
        <v>47</v>
      </c>
      <c r="M8" s="394" t="s">
        <v>64</v>
      </c>
      <c r="N8" s="204" t="s">
        <v>88</v>
      </c>
      <c r="O8" s="204" t="s">
        <v>89</v>
      </c>
      <c r="P8" s="395" t="s">
        <v>47</v>
      </c>
      <c r="Q8" s="590" t="s">
        <v>96</v>
      </c>
      <c r="R8" s="394" t="s">
        <v>64</v>
      </c>
      <c r="S8" s="204" t="s">
        <v>88</v>
      </c>
      <c r="T8" s="204" t="s">
        <v>89</v>
      </c>
      <c r="U8" s="395" t="s">
        <v>47</v>
      </c>
      <c r="V8" s="394" t="s">
        <v>64</v>
      </c>
      <c r="W8" s="204" t="s">
        <v>88</v>
      </c>
      <c r="X8" s="204" t="s">
        <v>89</v>
      </c>
      <c r="Y8" s="395" t="s">
        <v>47</v>
      </c>
      <c r="Z8" s="394" t="s">
        <v>90</v>
      </c>
      <c r="AA8" s="204" t="s">
        <v>91</v>
      </c>
      <c r="AB8" s="204" t="s">
        <v>92</v>
      </c>
      <c r="AC8" s="395" t="s">
        <v>47</v>
      </c>
      <c r="AD8" s="199" t="s">
        <v>90</v>
      </c>
      <c r="AE8" s="205" t="s">
        <v>93</v>
      </c>
      <c r="AF8" s="204" t="s">
        <v>94</v>
      </c>
      <c r="AG8" s="396" t="s">
        <v>95</v>
      </c>
      <c r="AH8" s="399" t="s">
        <v>96</v>
      </c>
      <c r="AI8" s="200" t="s">
        <v>97</v>
      </c>
    </row>
    <row r="9" spans="1:35" ht="83.5" customHeight="1" x14ac:dyDescent="0.2">
      <c r="A9" s="246">
        <v>1</v>
      </c>
      <c r="B9" s="62"/>
      <c r="C9" s="111" t="s">
        <v>121</v>
      </c>
      <c r="D9" s="111"/>
      <c r="E9" s="111"/>
      <c r="F9" s="111"/>
      <c r="G9" s="112"/>
      <c r="H9" s="113"/>
      <c r="I9" s="317">
        <v>0</v>
      </c>
      <c r="J9" s="10">
        <v>0</v>
      </c>
      <c r="K9" s="318">
        <f>Proj[[#This Row],[Column7]]-Proj[[#This Row],[Column8]]</f>
        <v>0</v>
      </c>
      <c r="L9" s="319">
        <f>IFERROR(Proj[[#This Row],[Column8]]/Proj[[#This Row],[Column7]],0)</f>
        <v>0</v>
      </c>
      <c r="M9" s="317">
        <v>0</v>
      </c>
      <c r="N9" s="10">
        <v>0</v>
      </c>
      <c r="O9" s="318">
        <f>Proj[[#This Row],[Column10]]-Proj[[#This Row],[Column11]]</f>
        <v>0</v>
      </c>
      <c r="P9" s="319">
        <f>IFERROR(N9/M9,0)</f>
        <v>0</v>
      </c>
      <c r="Q9" s="319">
        <f>IFERROR(Proj[[#This Row],[Column10]]/Proj[[#This Row],[Column7]],0)</f>
        <v>0</v>
      </c>
      <c r="R9" s="317">
        <v>0</v>
      </c>
      <c r="S9" s="10">
        <v>0</v>
      </c>
      <c r="T9" s="318">
        <f>Proj[[#This Row],[Column23]]-Proj[[#This Row],[Column27]]</f>
        <v>0</v>
      </c>
      <c r="U9" s="319">
        <f>IFERROR(Proj[[#This Row],[Column27]]/Proj[[#This Row],[Column23]],0)</f>
        <v>0</v>
      </c>
      <c r="V9" s="317">
        <v>0</v>
      </c>
      <c r="W9" s="10">
        <v>0</v>
      </c>
      <c r="X9" s="318">
        <f>Proj[[#This Row],[Column15]]-Proj[[#This Row],[Column16]]</f>
        <v>0</v>
      </c>
      <c r="Y9" s="319">
        <f>IFERROR(W9/V9,0)</f>
        <v>0</v>
      </c>
      <c r="Z9" s="398">
        <v>0</v>
      </c>
      <c r="AA9" s="34">
        <v>0</v>
      </c>
      <c r="AB9" s="321">
        <f>Proj[[#This Row],[Column19]]-Proj[[#This Row],[Column20]]</f>
        <v>0</v>
      </c>
      <c r="AC9" s="322">
        <f>IFERROR(AA9/Z9,0)</f>
        <v>0</v>
      </c>
      <c r="AD9" s="367">
        <v>0</v>
      </c>
      <c r="AE9" s="324">
        <v>0</v>
      </c>
      <c r="AF9" s="321">
        <f>Proj[[#This Row],[Column24]]-Proj[[#This Row],[Column30]]</f>
        <v>0</v>
      </c>
      <c r="AG9" s="322">
        <f>IFERROR(Proj[[#This Row],[Column30]]/Proj[[#This Row],[Column24]],0)</f>
        <v>0</v>
      </c>
      <c r="AH9" s="35">
        <f>IFERROR(Proj[[#This Row],[Column24]]/Proj[[#This Row],[Column19]],0)</f>
        <v>0</v>
      </c>
      <c r="AI9" s="325"/>
    </row>
    <row r="10" spans="1:35" ht="83.5" customHeight="1" x14ac:dyDescent="0.2">
      <c r="A10" s="246">
        <v>2</v>
      </c>
      <c r="B10" s="62"/>
      <c r="C10" s="111" t="s">
        <v>121</v>
      </c>
      <c r="D10" s="111"/>
      <c r="E10" s="111"/>
      <c r="F10" s="111"/>
      <c r="G10" s="126"/>
      <c r="H10" s="127"/>
      <c r="I10" s="118">
        <v>0</v>
      </c>
      <c r="J10" s="119">
        <v>0</v>
      </c>
      <c r="K10" s="120">
        <f>Proj[[#This Row],[Column7]]-Proj[[#This Row],[Column8]]</f>
        <v>0</v>
      </c>
      <c r="L10" s="81">
        <f>IFERROR(Proj[[#This Row],[Column8]]/Proj[[#This Row],[Column7]],0)</f>
        <v>0</v>
      </c>
      <c r="M10" s="118">
        <v>0</v>
      </c>
      <c r="N10" s="119">
        <v>0</v>
      </c>
      <c r="O10" s="120">
        <f>Proj[[#This Row],[Column10]]-Proj[[#This Row],[Column11]]</f>
        <v>0</v>
      </c>
      <c r="P10" s="81">
        <f t="shared" ref="P10:P12" si="0">IFERROR(N10/M10,0)</f>
        <v>0</v>
      </c>
      <c r="Q10" s="81">
        <f>IFERROR(Proj[[#This Row],[Column10]]/Proj[[#This Row],[Column7]],0)</f>
        <v>0</v>
      </c>
      <c r="R10" s="118">
        <v>0</v>
      </c>
      <c r="S10" s="119">
        <v>0</v>
      </c>
      <c r="T10" s="120">
        <f>Proj[[#This Row],[Column23]]-Proj[[#This Row],[Column27]]</f>
        <v>0</v>
      </c>
      <c r="U10" s="81">
        <f>IFERROR(Proj[[#This Row],[Column27]]/Proj[[#This Row],[Column23]],0)</f>
        <v>0</v>
      </c>
      <c r="V10" s="118">
        <v>0</v>
      </c>
      <c r="W10" s="119">
        <v>0</v>
      </c>
      <c r="X10" s="120">
        <f>Proj[[#This Row],[Column15]]-Proj[[#This Row],[Column16]]</f>
        <v>0</v>
      </c>
      <c r="Y10" s="81">
        <f t="shared" ref="Y10:Y12" si="1">IFERROR(W10/V10,0)</f>
        <v>0</v>
      </c>
      <c r="Z10" s="260">
        <v>0</v>
      </c>
      <c r="AA10" s="122">
        <v>0</v>
      </c>
      <c r="AB10" s="123">
        <f>Proj[[#This Row],[Column19]]-Proj[[#This Row],[Column20]]</f>
        <v>0</v>
      </c>
      <c r="AC10" s="82">
        <f t="shared" ref="AC10:AC12" si="2">IFERROR(AA10/Z10,0)</f>
        <v>0</v>
      </c>
      <c r="AD10" s="129">
        <v>0</v>
      </c>
      <c r="AE10" s="125">
        <v>0</v>
      </c>
      <c r="AF10" s="123">
        <f>Proj[[#This Row],[Column24]]-Proj[[#This Row],[Column30]]</f>
        <v>0</v>
      </c>
      <c r="AG10" s="82">
        <f>IFERROR(Proj[[#This Row],[Column30]]/Proj[[#This Row],[Column24]],0)</f>
        <v>0</v>
      </c>
      <c r="AH10" s="6">
        <f>IFERROR(Proj[[#This Row],[Column24]]/Proj[[#This Row],[Column19]],0)</f>
        <v>0</v>
      </c>
      <c r="AI10" s="130"/>
    </row>
    <row r="11" spans="1:35" ht="83.5" customHeight="1" x14ac:dyDescent="0.2">
      <c r="A11" s="246">
        <v>3</v>
      </c>
      <c r="B11" s="62"/>
      <c r="C11" s="111" t="s">
        <v>121</v>
      </c>
      <c r="D11" s="111"/>
      <c r="E11" s="111"/>
      <c r="F11" s="111"/>
      <c r="G11" s="126"/>
      <c r="H11" s="127"/>
      <c r="I11" s="118">
        <v>0</v>
      </c>
      <c r="J11" s="119">
        <v>0</v>
      </c>
      <c r="K11" s="120">
        <f>Proj[[#This Row],[Column7]]-Proj[[#This Row],[Column8]]</f>
        <v>0</v>
      </c>
      <c r="L11" s="81">
        <f>IFERROR(Proj[[#This Row],[Column8]]/Proj[[#This Row],[Column7]],0)</f>
        <v>0</v>
      </c>
      <c r="M11" s="118">
        <v>0</v>
      </c>
      <c r="N11" s="119">
        <v>0</v>
      </c>
      <c r="O11" s="120">
        <f>Proj[[#This Row],[Column10]]-Proj[[#This Row],[Column11]]</f>
        <v>0</v>
      </c>
      <c r="P11" s="81">
        <f t="shared" si="0"/>
        <v>0</v>
      </c>
      <c r="Q11" s="81">
        <f>IFERROR(Proj[[#This Row],[Column10]]/Proj[[#This Row],[Column7]],0)</f>
        <v>0</v>
      </c>
      <c r="R11" s="118">
        <v>0</v>
      </c>
      <c r="S11" s="119">
        <v>0</v>
      </c>
      <c r="T11" s="120">
        <f>Proj[[#This Row],[Column23]]-Proj[[#This Row],[Column27]]</f>
        <v>0</v>
      </c>
      <c r="U11" s="81">
        <f>IFERROR(Proj[[#This Row],[Column27]]/Proj[[#This Row],[Column23]],0)</f>
        <v>0</v>
      </c>
      <c r="V11" s="118">
        <v>0</v>
      </c>
      <c r="W11" s="119">
        <v>0</v>
      </c>
      <c r="X11" s="120">
        <f>Proj[[#This Row],[Column15]]-Proj[[#This Row],[Column16]]</f>
        <v>0</v>
      </c>
      <c r="Y11" s="81">
        <f>IFERROR(W11/V11,0)</f>
        <v>0</v>
      </c>
      <c r="Z11" s="260">
        <v>0</v>
      </c>
      <c r="AA11" s="122">
        <v>0</v>
      </c>
      <c r="AB11" s="123">
        <f>Proj[[#This Row],[Column19]]-Proj[[#This Row],[Column20]]</f>
        <v>0</v>
      </c>
      <c r="AC11" s="82">
        <f t="shared" si="2"/>
        <v>0</v>
      </c>
      <c r="AD11" s="129">
        <v>0</v>
      </c>
      <c r="AE11" s="125">
        <v>0</v>
      </c>
      <c r="AF11" s="123">
        <f>Proj[[#This Row],[Column24]]-Proj[[#This Row],[Column30]]</f>
        <v>0</v>
      </c>
      <c r="AG11" s="82">
        <f>IFERROR(Proj[[#This Row],[Column30]]/Proj[[#This Row],[Column24]],0)</f>
        <v>0</v>
      </c>
      <c r="AH11" s="6">
        <f>IFERROR(Proj[[#This Row],[Column24]]/Proj[[#This Row],[Column19]],0)</f>
        <v>0</v>
      </c>
      <c r="AI11" s="36"/>
    </row>
    <row r="12" spans="1:35" ht="73" thickBot="1" x14ac:dyDescent="0.25">
      <c r="A12" s="246">
        <v>4</v>
      </c>
      <c r="B12" s="62"/>
      <c r="C12" s="111" t="s">
        <v>121</v>
      </c>
      <c r="D12" s="111"/>
      <c r="E12" s="111"/>
      <c r="F12" s="111"/>
      <c r="G12" s="131"/>
      <c r="H12" s="132"/>
      <c r="I12" s="137">
        <v>0</v>
      </c>
      <c r="J12" s="75">
        <v>0</v>
      </c>
      <c r="K12" s="138">
        <f>Proj[[#This Row],[Column7]]-Proj[[#This Row],[Column8]]</f>
        <v>0</v>
      </c>
      <c r="L12" s="83">
        <f>IFERROR(Proj[[#This Row],[Column8]]/Proj[[#This Row],[Column7]],0)</f>
        <v>0</v>
      </c>
      <c r="M12" s="137">
        <v>0</v>
      </c>
      <c r="N12" s="75">
        <v>0</v>
      </c>
      <c r="O12" s="138">
        <f>Proj[[#This Row],[Column10]]-Proj[[#This Row],[Column11]]</f>
        <v>0</v>
      </c>
      <c r="P12" s="83">
        <f t="shared" si="0"/>
        <v>0</v>
      </c>
      <c r="Q12" s="83">
        <f>IFERROR(Proj[[#This Row],[Column10]]/Proj[[#This Row],[Column7]],0)</f>
        <v>0</v>
      </c>
      <c r="R12" s="137">
        <v>0</v>
      </c>
      <c r="S12" s="75">
        <v>0</v>
      </c>
      <c r="T12" s="138">
        <f>Proj[[#This Row],[Column23]]-Proj[[#This Row],[Column27]]</f>
        <v>0</v>
      </c>
      <c r="U12" s="83">
        <f>IFERROR(Proj[[#This Row],[Column27]]/Proj[[#This Row],[Column23]],0)</f>
        <v>0</v>
      </c>
      <c r="V12" s="137">
        <v>0</v>
      </c>
      <c r="W12" s="75">
        <v>0</v>
      </c>
      <c r="X12" s="138">
        <f>Proj[[#This Row],[Column15]]-Proj[[#This Row],[Column16]]</f>
        <v>0</v>
      </c>
      <c r="Y12" s="83">
        <f t="shared" si="1"/>
        <v>0</v>
      </c>
      <c r="Z12" s="397">
        <v>0</v>
      </c>
      <c r="AA12" s="140">
        <v>0</v>
      </c>
      <c r="AB12" s="141">
        <f>Proj[[#This Row],[Column19]]-Proj[[#This Row],[Column20]]</f>
        <v>0</v>
      </c>
      <c r="AC12" s="84">
        <f t="shared" si="2"/>
        <v>0</v>
      </c>
      <c r="AD12" s="364">
        <v>0</v>
      </c>
      <c r="AE12" s="143">
        <v>0</v>
      </c>
      <c r="AF12" s="141">
        <f>Proj[[#This Row],[Column24]]-Proj[[#This Row],[Column30]]</f>
        <v>0</v>
      </c>
      <c r="AG12" s="84">
        <f>IFERROR(Proj[[#This Row],[Column30]]/Proj[[#This Row],[Column24]],0)</f>
        <v>0</v>
      </c>
      <c r="AH12" s="144">
        <f>IFERROR(Proj[[#This Row],[Column24]]/Proj[[#This Row],[Column19]],0)</f>
        <v>0</v>
      </c>
      <c r="AI12" s="85"/>
    </row>
    <row r="13" spans="1:35" ht="83.5" customHeight="1" thickBot="1" x14ac:dyDescent="0.25">
      <c r="A13" s="261"/>
      <c r="B13" s="281"/>
      <c r="C13" s="282"/>
      <c r="D13" s="377" t="s">
        <v>70</v>
      </c>
      <c r="E13" s="284"/>
      <c r="F13" s="285"/>
      <c r="G13" s="383"/>
      <c r="H13" s="384"/>
      <c r="I13" s="288">
        <f>SUBTOTAL(109,Proj[Column7])</f>
        <v>0</v>
      </c>
      <c r="J13" s="289">
        <f>SUBTOTAL(109,Proj[Column8])</f>
        <v>0</v>
      </c>
      <c r="K13" s="289">
        <f>SUBTOTAL(109,Proj[Column9])</f>
        <v>0</v>
      </c>
      <c r="L13" s="374">
        <f>IFERROR(Proj[[#Totals],[Column8]]/Proj[[#Totals],[Column7]],0)</f>
        <v>0</v>
      </c>
      <c r="M13" s="288">
        <f>SUBTOTAL(109,Proj[Column10])</f>
        <v>0</v>
      </c>
      <c r="N13" s="289">
        <f>SUBTOTAL(109,Proj[Column11])</f>
        <v>0</v>
      </c>
      <c r="O13" s="289">
        <f>SUBTOTAL(109,Proj[Column12])</f>
        <v>0</v>
      </c>
      <c r="P13" s="374">
        <f>IFERROR(Proj[[#Totals],[Column11]]/Proj[[#Totals],[Column10]],0)</f>
        <v>0</v>
      </c>
      <c r="Q13" s="374">
        <f>IFERROR(Proj[[#Totals],[Column10]]/Proj[[#Totals],[Column7]],0)</f>
        <v>0</v>
      </c>
      <c r="R13" s="288">
        <f>SUBTOTAL(109,Proj[Column23])</f>
        <v>0</v>
      </c>
      <c r="S13" s="281">
        <f>SUBTOTAL(109,Proj[Column27])</f>
        <v>0</v>
      </c>
      <c r="T13" s="281">
        <f>SUBTOTAL(109,Proj[Column28])</f>
        <v>0</v>
      </c>
      <c r="U13" s="374">
        <f>IFERROR(Proj[[#Totals],[Column27]]/Proj[[#Totals],[Column23]],0)</f>
        <v>0</v>
      </c>
      <c r="V13" s="288">
        <f>SUBTOTAL(109,Proj[Column15])</f>
        <v>0</v>
      </c>
      <c r="W13" s="281">
        <f>SUBTOTAL(109,Proj[Column16])</f>
        <v>0</v>
      </c>
      <c r="X13" s="281">
        <f>SUBTOTAL(109,Proj[Column17])</f>
        <v>0</v>
      </c>
      <c r="Y13" s="374">
        <f>IFERROR(Proj[[#Totals],[Column16]]/Proj[[#Totals],[Column15]],0)</f>
        <v>0</v>
      </c>
      <c r="Z13" s="403">
        <f>SUBTOTAL(109,Proj[Column19])</f>
        <v>0</v>
      </c>
      <c r="AA13" s="292">
        <f>SUBTOTAL(109,Proj[Column20])</f>
        <v>0</v>
      </c>
      <c r="AB13" s="292">
        <f>SUBTOTAL(109,Proj[Column21])</f>
        <v>0</v>
      </c>
      <c r="AC13" s="290">
        <f>IFERROR(Proj[[#Totals],[Column20]]/Proj[[#Totals],[Column19]],0)</f>
        <v>0</v>
      </c>
      <c r="AD13" s="291">
        <f>SUBTOTAL(109,Proj[Column24])</f>
        <v>0</v>
      </c>
      <c r="AE13" s="386">
        <f>SUBTOTAL(109,Proj[Column30])</f>
        <v>0</v>
      </c>
      <c r="AF13" s="292">
        <f>SUBTOTAL(109,Proj[Column29])</f>
        <v>0</v>
      </c>
      <c r="AG13" s="339">
        <f>IFERROR(Proj[[#Totals],[Column30]]/Proj[[#Totals],[Column24]],0)</f>
        <v>0</v>
      </c>
      <c r="AH13" s="340">
        <f>IFERROR(Proj[[#Totals],[Column24]]/Proj[[#Totals],[Column19]],0)</f>
        <v>0</v>
      </c>
      <c r="AI13" s="285"/>
    </row>
    <row r="14" spans="1:35" ht="18" thickBot="1" x14ac:dyDescent="0.25">
      <c r="A14" s="332" t="s">
        <v>122</v>
      </c>
      <c r="B14" s="333"/>
      <c r="C14" s="333"/>
      <c r="D14" s="333"/>
      <c r="E14" s="333"/>
      <c r="F14" s="333"/>
      <c r="G14" s="333"/>
      <c r="H14" s="333"/>
      <c r="I14" s="400"/>
      <c r="J14" s="333"/>
      <c r="K14" s="333"/>
      <c r="L14" s="401"/>
      <c r="M14" s="400"/>
      <c r="N14" s="333"/>
      <c r="O14" s="333"/>
      <c r="P14" s="401"/>
      <c r="Q14" s="401"/>
      <c r="R14" s="400"/>
      <c r="S14" s="333"/>
      <c r="T14" s="333"/>
      <c r="U14" s="401"/>
      <c r="V14" s="400"/>
      <c r="W14" s="333"/>
      <c r="X14" s="333"/>
      <c r="Y14" s="401"/>
      <c r="Z14" s="400"/>
      <c r="AA14" s="333"/>
      <c r="AB14" s="333"/>
      <c r="AC14" s="401"/>
      <c r="AD14" s="333"/>
      <c r="AE14" s="333"/>
      <c r="AF14" s="333"/>
      <c r="AG14" s="402"/>
      <c r="AH14" s="400"/>
      <c r="AI14" s="337"/>
    </row>
  </sheetData>
  <sheetProtection formatCells="0" formatRows="0" insertRows="0" deleteRows="0" sort="0" autoFilter="0" pivotTables="0"/>
  <mergeCells count="11">
    <mergeCell ref="AD7:AG7"/>
    <mergeCell ref="I7:L7"/>
    <mergeCell ref="R7:U7"/>
    <mergeCell ref="V7:Y7"/>
    <mergeCell ref="Z7:AC7"/>
    <mergeCell ref="H7:H8"/>
    <mergeCell ref="A7:A8"/>
    <mergeCell ref="B7:B8"/>
    <mergeCell ref="C7:C8"/>
    <mergeCell ref="D7:F7"/>
    <mergeCell ref="G7:G8"/>
  </mergeCells>
  <dataValidations count="3">
    <dataValidation allowBlank="1" showInputMessage="1" showErrorMessage="1" prompt="Please fill in the cell with text" sqref="B9:F12" xr:uid="{DC16F2CF-769D-4434-BECB-1DE68D9A3186}"/>
    <dataValidation type="decimal" allowBlank="1" showInputMessage="1" showErrorMessage="1" prompt="Input only numbers" sqref="I9:J12 Z9:AA12 V9:W12 R9:S12 M9:N12 AD9:AE12" xr:uid="{3547E8F7-9D1A-4657-A35B-499E5A35CDAC}">
      <formula1>0</formula1>
      <formula2>10000000000</formula2>
    </dataValidation>
    <dataValidation type="custom" allowBlank="1" showInputMessage="1" showErrorMessage="1" errorTitle="NOTICE!" error="Please don't input any value in this cell, there is formula" promptTitle="NOTICE!" prompt="Please don't input any value in this cell, there is formula" sqref="K9:L12 O9:Q12 T9:U12 X9:Y12 AB9:AC12 AF9:AG12" xr:uid="{6BD06AE5-52B7-4CF8-BBDA-A00E454723EA}">
      <formula1>"Please don't input any value in this cell, there is formula"</formula1>
    </dataValidation>
  </dataValidations>
  <pageMargins left="0.7" right="0.7" top="0.75" bottom="0.75" header="0.3" footer="0.3"/>
  <pageSetup paperSize="9" orientation="portrait" verticalDpi="4294967295"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B7862-CF9E-4E4C-BE74-3D33E84C2EE2}">
  <dimension ref="A1:V140"/>
  <sheetViews>
    <sheetView view="pageBreakPreview" zoomScale="70" zoomScaleNormal="100" zoomScaleSheetLayoutView="70" workbookViewId="0">
      <selection activeCell="C3" sqref="C3"/>
    </sheetView>
  </sheetViews>
  <sheetFormatPr baseColWidth="10" defaultColWidth="9.1640625" defaultRowHeight="17" x14ac:dyDescent="0.2"/>
  <cols>
    <col min="1" max="1" width="6.5" style="2" customWidth="1"/>
    <col min="2" max="2" width="55.83203125" style="2" customWidth="1"/>
    <col min="3" max="3" width="30.5" style="2" bestFit="1" customWidth="1"/>
    <col min="4" max="4" width="52.5" style="2" bestFit="1" customWidth="1"/>
    <col min="5" max="5" width="35.5" style="2" bestFit="1" customWidth="1"/>
    <col min="6" max="6" width="25.5" style="2" bestFit="1" customWidth="1"/>
    <col min="7" max="7" width="10.6640625" style="2" hidden="1" customWidth="1"/>
    <col min="8" max="8" width="12.5" style="2" hidden="1" customWidth="1"/>
    <col min="9" max="10" width="14.6640625" style="2" bestFit="1" customWidth="1"/>
    <col min="11" max="11" width="10.5" style="2" customWidth="1"/>
    <col min="12" max="12" width="17.5" style="2" customWidth="1"/>
    <col min="13" max="13" width="11.5" style="2" customWidth="1"/>
    <col min="14" max="14" width="12.1640625" style="2" customWidth="1"/>
    <col min="15" max="15" width="12.5" style="2" customWidth="1"/>
    <col min="16" max="16" width="10.83203125" style="2" customWidth="1"/>
    <col min="17" max="17" width="57.33203125" style="2" customWidth="1"/>
    <col min="18" max="18" width="29.5" style="2" customWidth="1"/>
    <col min="19" max="19" width="21.83203125" style="2" customWidth="1"/>
    <col min="20" max="21" width="10.5" style="2" customWidth="1"/>
    <col min="22" max="22" width="12" bestFit="1" customWidth="1"/>
    <col min="23" max="16384" width="9.1640625" style="2"/>
  </cols>
  <sheetData>
    <row r="1" spans="1:22" ht="18" thickBot="1" x14ac:dyDescent="0.25">
      <c r="B1" s="3" t="s">
        <v>39</v>
      </c>
      <c r="C1" s="16"/>
      <c r="D1" s="16"/>
      <c r="E1" s="16"/>
      <c r="F1" s="16"/>
    </row>
    <row r="2" spans="1:22" ht="18" thickBot="1" x14ac:dyDescent="0.25">
      <c r="B2" s="26" t="s">
        <v>40</v>
      </c>
      <c r="C2" s="24"/>
      <c r="D2" s="25" t="s">
        <v>41</v>
      </c>
      <c r="E2" s="22"/>
      <c r="F2" s="16"/>
    </row>
    <row r="3" spans="1:22" ht="18" thickBot="1" x14ac:dyDescent="0.25">
      <c r="B3" s="23" t="s">
        <v>42</v>
      </c>
      <c r="C3" s="24"/>
      <c r="D3" s="23" t="s">
        <v>43</v>
      </c>
      <c r="E3" s="22"/>
      <c r="F3" s="16"/>
    </row>
    <row r="4" spans="1:22" ht="18" thickBot="1" x14ac:dyDescent="0.25">
      <c r="B4" s="21" t="s">
        <v>44</v>
      </c>
      <c r="C4" s="20"/>
      <c r="D4" s="18" t="s">
        <v>45</v>
      </c>
      <c r="E4" s="17"/>
      <c r="F4" s="16"/>
    </row>
    <row r="5" spans="1:22" ht="22" customHeight="1" thickBot="1" x14ac:dyDescent="0.25">
      <c r="B5" s="15"/>
      <c r="C5" s="19"/>
      <c r="D5" s="18" t="s">
        <v>46</v>
      </c>
      <c r="E5" s="17"/>
      <c r="F5" s="16"/>
    </row>
    <row r="6" spans="1:22" ht="18" thickBot="1" x14ac:dyDescent="0.25">
      <c r="B6" s="15"/>
      <c r="C6" s="14"/>
      <c r="D6" s="13" t="s">
        <v>47</v>
      </c>
      <c r="E6" s="12"/>
      <c r="F6" s="3"/>
    </row>
    <row r="8" spans="1:22" ht="18" thickBot="1" x14ac:dyDescent="0.25">
      <c r="B8" s="11" t="s">
        <v>48</v>
      </c>
    </row>
    <row r="9" spans="1:22" ht="33" customHeight="1" thickBot="1" x14ac:dyDescent="0.25">
      <c r="A9" s="597" t="s">
        <v>49</v>
      </c>
      <c r="B9" s="598"/>
      <c r="C9" s="598"/>
      <c r="D9" s="598"/>
      <c r="E9" s="598"/>
      <c r="F9" s="598"/>
      <c r="G9" s="598"/>
      <c r="H9" s="598"/>
      <c r="I9" s="598"/>
      <c r="J9" s="598"/>
      <c r="K9" s="598"/>
      <c r="L9" s="598"/>
      <c r="M9" s="598"/>
      <c r="N9" s="598"/>
      <c r="O9" s="598"/>
      <c r="P9" s="598"/>
      <c r="Q9" s="598"/>
      <c r="R9" s="598"/>
      <c r="S9" s="598"/>
      <c r="T9" s="598"/>
      <c r="U9" s="598"/>
      <c r="V9" s="599"/>
    </row>
    <row r="10" spans="1:22" ht="32.5" customHeight="1" thickBot="1" x14ac:dyDescent="0.25">
      <c r="A10" s="606" t="s">
        <v>50</v>
      </c>
      <c r="B10" s="608" t="s">
        <v>51</v>
      </c>
      <c r="C10" s="608" t="s">
        <v>52</v>
      </c>
      <c r="D10" s="593" t="s">
        <v>53</v>
      </c>
      <c r="E10" s="594"/>
      <c r="F10" s="595"/>
      <c r="G10" s="481" t="s">
        <v>54</v>
      </c>
      <c r="H10" s="482"/>
      <c r="I10" s="593" t="s">
        <v>55</v>
      </c>
      <c r="J10" s="594"/>
      <c r="K10" s="594"/>
      <c r="L10" s="595"/>
      <c r="M10" s="593" t="s">
        <v>56</v>
      </c>
      <c r="N10" s="594"/>
      <c r="O10" s="594"/>
      <c r="P10" s="595"/>
      <c r="Q10" s="593" t="s">
        <v>57</v>
      </c>
      <c r="R10" s="594"/>
      <c r="S10" s="594"/>
      <c r="T10" s="596"/>
      <c r="U10" s="600" t="s">
        <v>58</v>
      </c>
      <c r="V10" s="601"/>
    </row>
    <row r="11" spans="1:22" ht="35" thickBot="1" x14ac:dyDescent="0.25">
      <c r="A11" s="607"/>
      <c r="B11" s="609"/>
      <c r="C11" s="609"/>
      <c r="D11" s="434" t="s">
        <v>59</v>
      </c>
      <c r="E11" s="434" t="s">
        <v>60</v>
      </c>
      <c r="F11" s="434" t="s">
        <v>61</v>
      </c>
      <c r="G11" s="434" t="s">
        <v>62</v>
      </c>
      <c r="H11" s="434" t="s">
        <v>63</v>
      </c>
      <c r="I11" s="435" t="s">
        <v>64</v>
      </c>
      <c r="J11" s="435" t="s">
        <v>62</v>
      </c>
      <c r="K11" s="436" t="s">
        <v>63</v>
      </c>
      <c r="L11" s="436" t="s">
        <v>47</v>
      </c>
      <c r="M11" s="435" t="s">
        <v>64</v>
      </c>
      <c r="N11" s="435" t="s">
        <v>62</v>
      </c>
      <c r="O11" s="436" t="s">
        <v>63</v>
      </c>
      <c r="P11" s="436" t="s">
        <v>47</v>
      </c>
      <c r="Q11" s="434" t="s">
        <v>64</v>
      </c>
      <c r="R11" s="435" t="s">
        <v>65</v>
      </c>
      <c r="S11" s="437" t="s">
        <v>66</v>
      </c>
      <c r="T11" s="438" t="s">
        <v>47</v>
      </c>
      <c r="U11" s="483" t="s">
        <v>67</v>
      </c>
      <c r="V11" s="483" t="s">
        <v>68</v>
      </c>
    </row>
    <row r="12" spans="1:22" ht="71" x14ac:dyDescent="0.2">
      <c r="A12" s="602">
        <v>1</v>
      </c>
      <c r="B12" s="604" t="s">
        <v>4</v>
      </c>
      <c r="C12" s="439" t="s">
        <v>69</v>
      </c>
      <c r="D12" s="440"/>
      <c r="E12" s="440"/>
      <c r="F12" s="440"/>
      <c r="G12" s="441"/>
      <c r="H12" s="441"/>
      <c r="I12" s="442">
        <v>0</v>
      </c>
      <c r="J12" s="440">
        <v>0</v>
      </c>
      <c r="K12" s="443">
        <f>Engineering[[#This Row],[Column7]]-Engineering[[#This Row],[Column8]]</f>
        <v>0</v>
      </c>
      <c r="L12" s="444">
        <f t="shared" ref="L12:L17" si="0">IFERROR(J12/I12,0)</f>
        <v>0</v>
      </c>
      <c r="M12" s="445">
        <v>0</v>
      </c>
      <c r="N12" s="440">
        <v>0</v>
      </c>
      <c r="O12" s="443">
        <f>Engineering[[#This Row],[Column11]]-Engineering[[#This Row],[Column12]]</f>
        <v>0</v>
      </c>
      <c r="P12" s="444">
        <f t="shared" ref="P12:P17" si="1">IFERROR(N12/M12,0)</f>
        <v>0</v>
      </c>
      <c r="Q12" s="484">
        <v>0</v>
      </c>
      <c r="R12" s="488">
        <v>0</v>
      </c>
      <c r="S12" s="446">
        <f>Engineering[[#This Row],[Column15]]-Engineering[[#This Row],[Column16]]</f>
        <v>0</v>
      </c>
      <c r="T12" s="473">
        <f t="shared" ref="T12:T16" si="2">IFERROR(R12/Q12,0)</f>
        <v>0</v>
      </c>
      <c r="U12" s="441"/>
      <c r="V12" s="441"/>
    </row>
    <row r="13" spans="1:22" ht="71" x14ac:dyDescent="0.2">
      <c r="A13" s="602"/>
      <c r="B13" s="604"/>
      <c r="C13" s="439" t="s">
        <v>69</v>
      </c>
      <c r="D13" s="440"/>
      <c r="E13" s="440"/>
      <c r="F13" s="440"/>
      <c r="G13" s="447"/>
      <c r="H13" s="447"/>
      <c r="I13" s="442">
        <v>0</v>
      </c>
      <c r="J13" s="440">
        <v>0</v>
      </c>
      <c r="K13" s="443">
        <f>Engineering[[#This Row],[Column7]]-Engineering[[#This Row],[Column8]]</f>
        <v>0</v>
      </c>
      <c r="L13" s="444">
        <f t="shared" si="0"/>
        <v>0</v>
      </c>
      <c r="M13" s="445">
        <v>0</v>
      </c>
      <c r="N13" s="440">
        <v>0</v>
      </c>
      <c r="O13" s="443">
        <f>Engineering[[#This Row],[Column11]]-Engineering[[#This Row],[Column12]]</f>
        <v>0</v>
      </c>
      <c r="P13" s="444">
        <f t="shared" si="1"/>
        <v>0</v>
      </c>
      <c r="Q13" s="484">
        <v>0</v>
      </c>
      <c r="R13" s="488">
        <v>0</v>
      </c>
      <c r="S13" s="446">
        <f>Engineering[[#This Row],[Column15]]-Engineering[[#This Row],[Column16]]</f>
        <v>0</v>
      </c>
      <c r="T13" s="473">
        <f t="shared" si="2"/>
        <v>0</v>
      </c>
      <c r="U13" s="447"/>
      <c r="V13" s="447"/>
    </row>
    <row r="14" spans="1:22" ht="71" x14ac:dyDescent="0.2">
      <c r="A14" s="602"/>
      <c r="B14" s="604"/>
      <c r="C14" s="439" t="s">
        <v>69</v>
      </c>
      <c r="D14" s="440"/>
      <c r="E14" s="440"/>
      <c r="F14" s="440"/>
      <c r="G14" s="447"/>
      <c r="H14" s="447"/>
      <c r="I14" s="442">
        <v>0</v>
      </c>
      <c r="J14" s="440">
        <v>0</v>
      </c>
      <c r="K14" s="443">
        <f>Engineering[[#This Row],[Column7]]-Engineering[[#This Row],[Column8]]</f>
        <v>0</v>
      </c>
      <c r="L14" s="444">
        <f t="shared" si="0"/>
        <v>0</v>
      </c>
      <c r="M14" s="445">
        <v>0</v>
      </c>
      <c r="N14" s="440">
        <v>0</v>
      </c>
      <c r="O14" s="443">
        <f>Engineering[[#This Row],[Column11]]-Engineering[[#This Row],[Column12]]</f>
        <v>0</v>
      </c>
      <c r="P14" s="444">
        <f t="shared" si="1"/>
        <v>0</v>
      </c>
      <c r="Q14" s="484">
        <v>0</v>
      </c>
      <c r="R14" s="488">
        <v>0</v>
      </c>
      <c r="S14" s="446">
        <f>Engineering[[#This Row],[Column15]]-Engineering[[#This Row],[Column16]]</f>
        <v>0</v>
      </c>
      <c r="T14" s="473">
        <f t="shared" si="2"/>
        <v>0</v>
      </c>
      <c r="U14" s="447"/>
      <c r="V14" s="447"/>
    </row>
    <row r="15" spans="1:22" ht="71" x14ac:dyDescent="0.2">
      <c r="A15" s="602"/>
      <c r="B15" s="604"/>
      <c r="C15" s="439" t="s">
        <v>69</v>
      </c>
      <c r="D15" s="440"/>
      <c r="E15" s="440"/>
      <c r="F15" s="440"/>
      <c r="G15" s="447"/>
      <c r="H15" s="447"/>
      <c r="I15" s="442">
        <v>0</v>
      </c>
      <c r="J15" s="440">
        <v>0</v>
      </c>
      <c r="K15" s="443">
        <f>Engineering[[#This Row],[Column7]]-Engineering[[#This Row],[Column8]]</f>
        <v>0</v>
      </c>
      <c r="L15" s="444">
        <f t="shared" si="0"/>
        <v>0</v>
      </c>
      <c r="M15" s="445">
        <v>0</v>
      </c>
      <c r="N15" s="440">
        <v>0</v>
      </c>
      <c r="O15" s="443">
        <f>Engineering[[#This Row],[Column11]]-Engineering[[#This Row],[Column12]]</f>
        <v>0</v>
      </c>
      <c r="P15" s="444">
        <f t="shared" si="1"/>
        <v>0</v>
      </c>
      <c r="Q15" s="484">
        <v>0</v>
      </c>
      <c r="R15" s="488">
        <v>0</v>
      </c>
      <c r="S15" s="446">
        <f>Engineering[[#This Row],[Column15]]-Engineering[[#This Row],[Column16]]</f>
        <v>0</v>
      </c>
      <c r="T15" s="473">
        <f t="shared" si="2"/>
        <v>0</v>
      </c>
      <c r="U15" s="447"/>
      <c r="V15" s="447"/>
    </row>
    <row r="16" spans="1:22" ht="72" thickBot="1" x14ac:dyDescent="0.25">
      <c r="A16" s="603"/>
      <c r="B16" s="605"/>
      <c r="C16" s="439" t="s">
        <v>69</v>
      </c>
      <c r="D16" s="440"/>
      <c r="E16" s="440"/>
      <c r="F16" s="440"/>
      <c r="G16" s="447"/>
      <c r="H16" s="447"/>
      <c r="I16" s="442">
        <v>0</v>
      </c>
      <c r="J16" s="440">
        <v>0</v>
      </c>
      <c r="K16" s="443">
        <f>Engineering[[#This Row],[Column7]]-Engineering[[#This Row],[Column8]]</f>
        <v>0</v>
      </c>
      <c r="L16" s="444">
        <f t="shared" si="0"/>
        <v>0</v>
      </c>
      <c r="M16" s="445">
        <v>0</v>
      </c>
      <c r="N16" s="440">
        <v>0</v>
      </c>
      <c r="O16" s="443">
        <f>Engineering[[#This Row],[Column11]]-Engineering[[#This Row],[Column12]]</f>
        <v>0</v>
      </c>
      <c r="P16" s="444">
        <f t="shared" si="1"/>
        <v>0</v>
      </c>
      <c r="Q16" s="484">
        <v>0</v>
      </c>
      <c r="R16" s="488">
        <v>0</v>
      </c>
      <c r="S16" s="446">
        <f>Engineering[[#This Row],[Column15]]-Engineering[[#This Row],[Column16]]</f>
        <v>0</v>
      </c>
      <c r="T16" s="473">
        <f t="shared" si="2"/>
        <v>0</v>
      </c>
      <c r="U16" s="447"/>
      <c r="V16" s="447"/>
    </row>
    <row r="17" spans="1:22" s="1" customFormat="1" ht="22" thickTop="1" thickBot="1" x14ac:dyDescent="0.25">
      <c r="A17" s="410"/>
      <c r="B17" s="411" t="s">
        <v>70</v>
      </c>
      <c r="C17" s="412"/>
      <c r="D17" s="413"/>
      <c r="E17" s="413"/>
      <c r="F17" s="413"/>
      <c r="G17" s="413"/>
      <c r="H17" s="413"/>
      <c r="I17" s="414">
        <f>SUBTOTAL(109,Engineering[Column7])</f>
        <v>0</v>
      </c>
      <c r="J17" s="413">
        <f>SUBTOTAL(109,Engineering[Column8])</f>
        <v>0</v>
      </c>
      <c r="K17" s="413">
        <f>SUBTOTAL(109,Engineering[Column9])</f>
        <v>0</v>
      </c>
      <c r="L17" s="415">
        <f t="shared" si="0"/>
        <v>0</v>
      </c>
      <c r="M17" s="414">
        <f>SUBTOTAL(109,Engineering[Column11])</f>
        <v>0</v>
      </c>
      <c r="N17" s="413">
        <f>SUBTOTAL(109,Engineering[Column12])</f>
        <v>0</v>
      </c>
      <c r="O17" s="413">
        <f>SUBTOTAL(109,Engineering[Column13])</f>
        <v>0</v>
      </c>
      <c r="P17" s="415">
        <f t="shared" si="1"/>
        <v>0</v>
      </c>
      <c r="Q17" s="486">
        <f>SUBTOTAL(109,Engineering[Column15])</f>
        <v>0</v>
      </c>
      <c r="R17" s="489">
        <f>SUBTOTAL(109,Engineering[Column16])</f>
        <v>0</v>
      </c>
      <c r="S17" s="413">
        <f>SUBTOTAL(109,Engineering[Column17])</f>
        <v>0</v>
      </c>
      <c r="T17" s="479">
        <f>IFERROR(Engineering[[#Totals],[Column16]]/Engineering[[#Totals],[Column15]],0)</f>
        <v>0</v>
      </c>
      <c r="U17" s="413"/>
      <c r="V17" s="413"/>
    </row>
    <row r="18" spans="1:22" x14ac:dyDescent="0.2">
      <c r="V18" s="2"/>
    </row>
    <row r="19" spans="1:22" ht="71" x14ac:dyDescent="0.2">
      <c r="A19" s="610">
        <v>2</v>
      </c>
      <c r="B19" s="613" t="s">
        <v>6</v>
      </c>
      <c r="C19" s="439" t="s">
        <v>69</v>
      </c>
      <c r="D19" s="449"/>
      <c r="E19" s="449"/>
      <c r="F19" s="449"/>
      <c r="G19" s="447"/>
      <c r="H19" s="447"/>
      <c r="I19" s="448">
        <v>0</v>
      </c>
      <c r="J19" s="449">
        <v>0</v>
      </c>
      <c r="K19" s="443">
        <f>Engineering68[[#This Row],[Column7]]-Engineering68[[#This Row],[Column8]]</f>
        <v>0</v>
      </c>
      <c r="L19" s="444">
        <f t="shared" ref="L19:L24" si="3">IFERROR(J19/I19,0)</f>
        <v>0</v>
      </c>
      <c r="M19" s="450">
        <v>0</v>
      </c>
      <c r="N19" s="449">
        <v>0</v>
      </c>
      <c r="O19" s="443">
        <f>Engineering68[[#This Row],[Column11]]-Engineering68[[#This Row],[Column12]]</f>
        <v>0</v>
      </c>
      <c r="P19" s="444">
        <f t="shared" ref="P19:P24" si="4">IFERROR(N19/M19,0)</f>
        <v>0</v>
      </c>
      <c r="Q19" s="485">
        <v>0</v>
      </c>
      <c r="R19" s="451">
        <v>0</v>
      </c>
      <c r="S19" s="446">
        <f>Engineering68[[#This Row],[Column15]]-Engineering68[[#This Row],[Column16]]</f>
        <v>0</v>
      </c>
      <c r="T19" s="444">
        <f t="shared" ref="T19:T24" si="5">IFERROR(R19/Q19,0)</f>
        <v>0</v>
      </c>
      <c r="U19" s="447"/>
      <c r="V19" s="447"/>
    </row>
    <row r="20" spans="1:22" ht="71" x14ac:dyDescent="0.2">
      <c r="A20" s="611"/>
      <c r="B20" s="604"/>
      <c r="C20" s="439" t="s">
        <v>69</v>
      </c>
      <c r="D20" s="449"/>
      <c r="E20" s="449"/>
      <c r="F20" s="449"/>
      <c r="G20" s="447"/>
      <c r="H20" s="447"/>
      <c r="I20" s="448">
        <v>0</v>
      </c>
      <c r="J20" s="449">
        <v>0</v>
      </c>
      <c r="K20" s="443">
        <f>Engineering68[[#This Row],[Column7]]-Engineering68[[#This Row],[Column8]]</f>
        <v>0</v>
      </c>
      <c r="L20" s="444">
        <f t="shared" si="3"/>
        <v>0</v>
      </c>
      <c r="M20" s="450">
        <v>0</v>
      </c>
      <c r="N20" s="449">
        <v>0</v>
      </c>
      <c r="O20" s="443">
        <f>Engineering68[[#This Row],[Column11]]-Engineering68[[#This Row],[Column12]]</f>
        <v>0</v>
      </c>
      <c r="P20" s="444">
        <f t="shared" si="4"/>
        <v>0</v>
      </c>
      <c r="Q20" s="485">
        <v>0</v>
      </c>
      <c r="R20" s="451">
        <v>0</v>
      </c>
      <c r="S20" s="446">
        <f>Engineering68[[#This Row],[Column15]]-Engineering68[[#This Row],[Column16]]</f>
        <v>0</v>
      </c>
      <c r="T20" s="444">
        <f t="shared" si="5"/>
        <v>0</v>
      </c>
      <c r="U20" s="447"/>
      <c r="V20" s="447"/>
    </row>
    <row r="21" spans="1:22" ht="44.5" customHeight="1" x14ac:dyDescent="0.2">
      <c r="A21" s="611"/>
      <c r="B21" s="604"/>
      <c r="C21" s="439" t="s">
        <v>69</v>
      </c>
      <c r="D21" s="449"/>
      <c r="E21" s="449"/>
      <c r="F21" s="449"/>
      <c r="G21" s="447"/>
      <c r="H21" s="447"/>
      <c r="I21" s="448">
        <v>0</v>
      </c>
      <c r="J21" s="449">
        <v>0</v>
      </c>
      <c r="K21" s="443">
        <f>Engineering68[[#This Row],[Column7]]-Engineering68[[#This Row],[Column8]]</f>
        <v>0</v>
      </c>
      <c r="L21" s="444">
        <f t="shared" si="3"/>
        <v>0</v>
      </c>
      <c r="M21" s="450">
        <v>0</v>
      </c>
      <c r="N21" s="449">
        <v>0</v>
      </c>
      <c r="O21" s="443">
        <f>Engineering68[[#This Row],[Column11]]-Engineering68[[#This Row],[Column12]]</f>
        <v>0</v>
      </c>
      <c r="P21" s="444">
        <f t="shared" si="4"/>
        <v>0</v>
      </c>
      <c r="Q21" s="485">
        <v>0</v>
      </c>
      <c r="R21" s="451">
        <v>0</v>
      </c>
      <c r="S21" s="446">
        <f>Engineering68[[#This Row],[Column15]]-Engineering68[[#This Row],[Column16]]</f>
        <v>0</v>
      </c>
      <c r="T21" s="444">
        <f t="shared" si="5"/>
        <v>0</v>
      </c>
      <c r="U21" s="447"/>
      <c r="V21" s="447"/>
    </row>
    <row r="22" spans="1:22" ht="37" customHeight="1" x14ac:dyDescent="0.2">
      <c r="A22" s="611"/>
      <c r="B22" s="604"/>
      <c r="C22" s="439" t="s">
        <v>69</v>
      </c>
      <c r="D22" s="449"/>
      <c r="E22" s="449"/>
      <c r="F22" s="449"/>
      <c r="G22" s="447"/>
      <c r="H22" s="447"/>
      <c r="I22" s="448">
        <v>0</v>
      </c>
      <c r="J22" s="449">
        <v>0</v>
      </c>
      <c r="K22" s="443">
        <f>Engineering68[[#This Row],[Column7]]-Engineering68[[#This Row],[Column8]]</f>
        <v>0</v>
      </c>
      <c r="L22" s="444">
        <f t="shared" si="3"/>
        <v>0</v>
      </c>
      <c r="M22" s="450">
        <v>0</v>
      </c>
      <c r="N22" s="449">
        <v>0</v>
      </c>
      <c r="O22" s="443">
        <f>Engineering68[[#This Row],[Column11]]-Engineering68[[#This Row],[Column12]]</f>
        <v>0</v>
      </c>
      <c r="P22" s="444">
        <f t="shared" si="4"/>
        <v>0</v>
      </c>
      <c r="Q22" s="485">
        <v>0</v>
      </c>
      <c r="R22" s="451">
        <v>0</v>
      </c>
      <c r="S22" s="446">
        <f>Engineering68[[#This Row],[Column15]]-Engineering68[[#This Row],[Column16]]</f>
        <v>0</v>
      </c>
      <c r="T22" s="444">
        <f t="shared" si="5"/>
        <v>0</v>
      </c>
      <c r="U22" s="447"/>
      <c r="V22" s="447"/>
    </row>
    <row r="23" spans="1:22" ht="51" customHeight="1" thickBot="1" x14ac:dyDescent="0.25">
      <c r="A23" s="612"/>
      <c r="B23" s="605"/>
      <c r="C23" s="439" t="s">
        <v>69</v>
      </c>
      <c r="D23" s="449"/>
      <c r="E23" s="449"/>
      <c r="F23" s="449"/>
      <c r="G23" s="447"/>
      <c r="H23" s="447"/>
      <c r="I23" s="448">
        <v>0</v>
      </c>
      <c r="J23" s="449">
        <v>0</v>
      </c>
      <c r="K23" s="443">
        <f>Engineering68[[#This Row],[Column7]]-Engineering68[[#This Row],[Column8]]</f>
        <v>0</v>
      </c>
      <c r="L23" s="444">
        <f t="shared" si="3"/>
        <v>0</v>
      </c>
      <c r="M23" s="450">
        <v>0</v>
      </c>
      <c r="N23" s="449">
        <v>0</v>
      </c>
      <c r="O23" s="443">
        <f>Engineering68[[#This Row],[Column11]]-Engineering68[[#This Row],[Column12]]</f>
        <v>0</v>
      </c>
      <c r="P23" s="444">
        <f t="shared" si="4"/>
        <v>0</v>
      </c>
      <c r="Q23" s="485">
        <v>0</v>
      </c>
      <c r="R23" s="451">
        <v>0</v>
      </c>
      <c r="S23" s="446">
        <f>Engineering68[[#This Row],[Column15]]-Engineering68[[#This Row],[Column16]]</f>
        <v>0</v>
      </c>
      <c r="T23" s="444">
        <f t="shared" si="5"/>
        <v>0</v>
      </c>
      <c r="U23" s="447"/>
      <c r="V23" s="447"/>
    </row>
    <row r="24" spans="1:22" s="1" customFormat="1" ht="22" thickTop="1" thickBot="1" x14ac:dyDescent="0.25">
      <c r="A24" s="420"/>
      <c r="B24" s="411" t="s">
        <v>70</v>
      </c>
      <c r="C24" s="412"/>
      <c r="D24" s="413"/>
      <c r="E24" s="413"/>
      <c r="F24" s="413"/>
      <c r="G24" s="413"/>
      <c r="H24" s="413"/>
      <c r="I24" s="414">
        <f>SUBTOTAL(109,Engineering68[Column7])</f>
        <v>0</v>
      </c>
      <c r="J24" s="413">
        <f>SUBTOTAL(109,Engineering68[Column8])</f>
        <v>0</v>
      </c>
      <c r="K24" s="413">
        <f>SUBTOTAL(109,Engineering68[Column9])</f>
        <v>0</v>
      </c>
      <c r="L24" s="415">
        <f t="shared" si="3"/>
        <v>0</v>
      </c>
      <c r="M24" s="414">
        <f>SUBTOTAL(109,Engineering68[Column11])</f>
        <v>0</v>
      </c>
      <c r="N24" s="413">
        <f>SUBTOTAL(109,Engineering68[Column12])</f>
        <v>0</v>
      </c>
      <c r="O24" s="408">
        <f>SUBTOTAL(109,Engineering68[Column13])</f>
        <v>0</v>
      </c>
      <c r="P24" s="409">
        <f t="shared" si="4"/>
        <v>0</v>
      </c>
      <c r="Q24" s="421">
        <f>SUBTOTAL(109,Engineering68[Column15])</f>
        <v>0</v>
      </c>
      <c r="R24" s="417">
        <f>SUBTOTAL(109,Engineering68[Column16])</f>
        <v>0</v>
      </c>
      <c r="S24" s="418">
        <f>SUBTOTAL(109,Engineering68[Column17])</f>
        <v>0</v>
      </c>
      <c r="T24" s="419">
        <f t="shared" si="5"/>
        <v>0</v>
      </c>
      <c r="U24" s="413"/>
      <c r="V24" s="413"/>
    </row>
    <row r="25" spans="1:22" ht="18" thickBot="1" x14ac:dyDescent="0.25">
      <c r="V25" s="2"/>
    </row>
    <row r="26" spans="1:22" ht="72" thickBot="1" x14ac:dyDescent="0.25">
      <c r="A26" s="610">
        <v>3</v>
      </c>
      <c r="B26" s="614" t="s">
        <v>8</v>
      </c>
      <c r="C26" s="439" t="s">
        <v>69</v>
      </c>
      <c r="D26" s="440"/>
      <c r="E26" s="440"/>
      <c r="F26" s="440"/>
      <c r="G26" s="452"/>
      <c r="H26" s="453"/>
      <c r="I26" s="454">
        <v>0</v>
      </c>
      <c r="J26" s="455">
        <v>0</v>
      </c>
      <c r="K26" s="443">
        <f>Engineering6880[[#This Row],[Column7]]-Engineering6880[[#This Row],[Column8]]</f>
        <v>0</v>
      </c>
      <c r="L26" s="444">
        <f t="shared" ref="L26:L31" si="6">IFERROR(J26/I26,0)</f>
        <v>0</v>
      </c>
      <c r="M26" s="456">
        <v>0</v>
      </c>
      <c r="N26" s="455">
        <v>0</v>
      </c>
      <c r="O26" s="443">
        <f>Engineering6880[[#This Row],[Column11]]-Engineering6880[[#This Row],[Column12]]</f>
        <v>0</v>
      </c>
      <c r="P26" s="444">
        <f t="shared" ref="P26:P31" si="7">IFERROR(N26/M26,0)</f>
        <v>0</v>
      </c>
      <c r="Q26" s="487">
        <v>0</v>
      </c>
      <c r="R26" s="457">
        <v>0</v>
      </c>
      <c r="S26" s="446">
        <f>Engineering6880[[#This Row],[Column15]]-Engineering6880[[#This Row],[Column16]]</f>
        <v>0</v>
      </c>
      <c r="T26" s="444">
        <f t="shared" ref="T26:T31" si="8">IFERROR(R26/Q26,0)</f>
        <v>0</v>
      </c>
      <c r="U26" s="452"/>
      <c r="V26" s="453"/>
    </row>
    <row r="27" spans="1:22" ht="72" thickBot="1" x14ac:dyDescent="0.25">
      <c r="A27" s="611"/>
      <c r="B27" s="615"/>
      <c r="C27" s="439" t="s">
        <v>69</v>
      </c>
      <c r="D27" s="440"/>
      <c r="E27" s="440"/>
      <c r="F27" s="440"/>
      <c r="G27" s="458"/>
      <c r="H27" s="447"/>
      <c r="I27" s="454">
        <v>0</v>
      </c>
      <c r="J27" s="455">
        <v>0</v>
      </c>
      <c r="K27" s="443">
        <f>Engineering6880[[#This Row],[Column7]]-Engineering6880[[#This Row],[Column8]]</f>
        <v>0</v>
      </c>
      <c r="L27" s="444">
        <f t="shared" si="6"/>
        <v>0</v>
      </c>
      <c r="M27" s="456">
        <v>0</v>
      </c>
      <c r="N27" s="455">
        <v>0</v>
      </c>
      <c r="O27" s="443">
        <f>Engineering6880[[#This Row],[Column11]]-Engineering6880[[#This Row],[Column12]]</f>
        <v>0</v>
      </c>
      <c r="P27" s="444">
        <f t="shared" si="7"/>
        <v>0</v>
      </c>
      <c r="Q27" s="487">
        <v>0</v>
      </c>
      <c r="R27" s="457">
        <v>0</v>
      </c>
      <c r="S27" s="446">
        <f>Engineering6880[[#This Row],[Column15]]-Engineering6880[[#This Row],[Column16]]</f>
        <v>0</v>
      </c>
      <c r="T27" s="444">
        <f t="shared" si="8"/>
        <v>0</v>
      </c>
      <c r="U27" s="458"/>
      <c r="V27" s="447"/>
    </row>
    <row r="28" spans="1:22" ht="72" thickBot="1" x14ac:dyDescent="0.25">
      <c r="A28" s="611"/>
      <c r="B28" s="615"/>
      <c r="C28" s="439" t="s">
        <v>69</v>
      </c>
      <c r="D28" s="440"/>
      <c r="E28" s="440"/>
      <c r="F28" s="440"/>
      <c r="G28" s="458"/>
      <c r="H28" s="447"/>
      <c r="I28" s="454">
        <v>0</v>
      </c>
      <c r="J28" s="455">
        <v>0</v>
      </c>
      <c r="K28" s="443">
        <f>Engineering6880[[#This Row],[Column7]]-Engineering6880[[#This Row],[Column8]]</f>
        <v>0</v>
      </c>
      <c r="L28" s="444">
        <f t="shared" si="6"/>
        <v>0</v>
      </c>
      <c r="M28" s="456">
        <v>0</v>
      </c>
      <c r="N28" s="455">
        <v>0</v>
      </c>
      <c r="O28" s="443">
        <f>Engineering6880[[#This Row],[Column11]]-Engineering6880[[#This Row],[Column12]]</f>
        <v>0</v>
      </c>
      <c r="P28" s="444">
        <f t="shared" si="7"/>
        <v>0</v>
      </c>
      <c r="Q28" s="487">
        <v>0</v>
      </c>
      <c r="R28" s="457">
        <v>0</v>
      </c>
      <c r="S28" s="446">
        <f>Engineering6880[[#This Row],[Column15]]-Engineering6880[[#This Row],[Column16]]</f>
        <v>0</v>
      </c>
      <c r="T28" s="444">
        <f t="shared" si="8"/>
        <v>0</v>
      </c>
      <c r="U28" s="458"/>
      <c r="V28" s="447"/>
    </row>
    <row r="29" spans="1:22" ht="72" thickBot="1" x14ac:dyDescent="0.25">
      <c r="A29" s="611"/>
      <c r="B29" s="615"/>
      <c r="C29" s="439" t="s">
        <v>69</v>
      </c>
      <c r="D29" s="440"/>
      <c r="E29" s="440"/>
      <c r="F29" s="440"/>
      <c r="G29" s="458"/>
      <c r="H29" s="447"/>
      <c r="I29" s="454">
        <v>0</v>
      </c>
      <c r="J29" s="455">
        <v>0</v>
      </c>
      <c r="K29" s="443">
        <f>Engineering6880[[#This Row],[Column7]]-Engineering6880[[#This Row],[Column8]]</f>
        <v>0</v>
      </c>
      <c r="L29" s="444">
        <f t="shared" si="6"/>
        <v>0</v>
      </c>
      <c r="M29" s="456">
        <v>0</v>
      </c>
      <c r="N29" s="455">
        <v>0</v>
      </c>
      <c r="O29" s="443">
        <f>Engineering6880[[#This Row],[Column11]]-Engineering6880[[#This Row],[Column12]]</f>
        <v>0</v>
      </c>
      <c r="P29" s="444">
        <f t="shared" si="7"/>
        <v>0</v>
      </c>
      <c r="Q29" s="487">
        <v>0</v>
      </c>
      <c r="R29" s="457">
        <v>0</v>
      </c>
      <c r="S29" s="446">
        <f>Engineering6880[[#This Row],[Column15]]-Engineering6880[[#This Row],[Column16]]</f>
        <v>0</v>
      </c>
      <c r="T29" s="444">
        <f t="shared" si="8"/>
        <v>0</v>
      </c>
      <c r="U29" s="458"/>
      <c r="V29" s="447"/>
    </row>
    <row r="30" spans="1:22" ht="72" thickBot="1" x14ac:dyDescent="0.25">
      <c r="A30" s="612"/>
      <c r="B30" s="616"/>
      <c r="C30" s="439" t="s">
        <v>69</v>
      </c>
      <c r="D30" s="440"/>
      <c r="E30" s="440"/>
      <c r="F30" s="440"/>
      <c r="G30" s="458"/>
      <c r="H30" s="447"/>
      <c r="I30" s="454">
        <v>0</v>
      </c>
      <c r="J30" s="455">
        <v>0</v>
      </c>
      <c r="K30" s="443">
        <f>Engineering6880[[#This Row],[Column7]]-Engineering6880[[#This Row],[Column8]]</f>
        <v>0</v>
      </c>
      <c r="L30" s="444">
        <f t="shared" si="6"/>
        <v>0</v>
      </c>
      <c r="M30" s="456">
        <v>0</v>
      </c>
      <c r="N30" s="455">
        <v>0</v>
      </c>
      <c r="O30" s="443">
        <f>Engineering6880[[#This Row],[Column11]]-Engineering6880[[#This Row],[Column12]]</f>
        <v>0</v>
      </c>
      <c r="P30" s="444">
        <f t="shared" si="7"/>
        <v>0</v>
      </c>
      <c r="Q30" s="487">
        <v>0</v>
      </c>
      <c r="R30" s="457">
        <v>0</v>
      </c>
      <c r="S30" s="446">
        <f>Engineering6880[[#This Row],[Column15]]-Engineering6880[[#This Row],[Column16]]</f>
        <v>0</v>
      </c>
      <c r="T30" s="444">
        <f t="shared" si="8"/>
        <v>0</v>
      </c>
      <c r="U30" s="458"/>
      <c r="V30" s="458"/>
    </row>
    <row r="31" spans="1:22" s="1" customFormat="1" ht="22" thickTop="1" thickBot="1" x14ac:dyDescent="0.25">
      <c r="A31" s="420"/>
      <c r="B31" s="411" t="s">
        <v>70</v>
      </c>
      <c r="C31" s="412"/>
      <c r="D31" s="413"/>
      <c r="E31" s="413"/>
      <c r="F31" s="413"/>
      <c r="G31" s="413"/>
      <c r="H31" s="413"/>
      <c r="I31" s="414">
        <f>SUBTOTAL(109,Engineering6880[Column7])</f>
        <v>0</v>
      </c>
      <c r="J31" s="413">
        <f>SUBTOTAL(109,Engineering6880[Column8])</f>
        <v>0</v>
      </c>
      <c r="K31" s="413">
        <f>SUBTOTAL(109,Engineering6880[Column9])</f>
        <v>0</v>
      </c>
      <c r="L31" s="415">
        <f t="shared" si="6"/>
        <v>0</v>
      </c>
      <c r="M31" s="414">
        <f>SUBTOTAL(109,Engineering6880[Column11])</f>
        <v>0</v>
      </c>
      <c r="N31" s="413">
        <f>SUBTOTAL(109,Engineering6880[Column12])</f>
        <v>0</v>
      </c>
      <c r="O31" s="413">
        <f>SUBTOTAL(109,Engineering6880[Column13])</f>
        <v>0</v>
      </c>
      <c r="P31" s="415">
        <f t="shared" si="7"/>
        <v>0</v>
      </c>
      <c r="Q31" s="416">
        <f>SUBTOTAL(109,Engineering6880[Column15])</f>
        <v>0</v>
      </c>
      <c r="R31" s="417">
        <f>SUBTOTAL(109,Engineering6880[Column16])</f>
        <v>0</v>
      </c>
      <c r="S31" s="418">
        <f>SUBTOTAL(109,Engineering6880[Column17])</f>
        <v>0</v>
      </c>
      <c r="T31" s="490">
        <f t="shared" si="8"/>
        <v>0</v>
      </c>
      <c r="U31" s="491"/>
      <c r="V31" s="491"/>
    </row>
    <row r="32" spans="1:22" ht="18" thickBot="1" x14ac:dyDescent="0.25">
      <c r="V32" s="2"/>
    </row>
    <row r="33" spans="1:22" ht="72" thickBot="1" x14ac:dyDescent="0.25">
      <c r="A33" s="610">
        <v>4</v>
      </c>
      <c r="B33" s="614" t="s">
        <v>10</v>
      </c>
      <c r="C33" s="439" t="s">
        <v>69</v>
      </c>
      <c r="D33" s="440"/>
      <c r="E33" s="440"/>
      <c r="F33" s="440"/>
      <c r="G33" s="452"/>
      <c r="H33" s="453"/>
      <c r="I33" s="454">
        <v>0</v>
      </c>
      <c r="J33" s="455">
        <v>0</v>
      </c>
      <c r="K33" s="443">
        <f>Engineering6881[[#This Row],[Column7]]-Engineering6881[[#This Row],[Column8]]</f>
        <v>0</v>
      </c>
      <c r="L33" s="444">
        <f t="shared" ref="L33:L38" si="9">IFERROR(J33/I33,0)</f>
        <v>0</v>
      </c>
      <c r="M33" s="456">
        <v>0</v>
      </c>
      <c r="N33" s="455">
        <v>0</v>
      </c>
      <c r="O33" s="443">
        <f>Engineering6881[[#This Row],[Column11]]-Engineering6881[[#This Row],[Column12]]</f>
        <v>0</v>
      </c>
      <c r="P33" s="444">
        <f t="shared" ref="P33:P38" si="10">IFERROR(N33/M33,0)</f>
        <v>0</v>
      </c>
      <c r="Q33" s="476">
        <v>0</v>
      </c>
      <c r="R33" s="477">
        <v>0</v>
      </c>
      <c r="S33" s="478"/>
      <c r="T33" s="473">
        <f t="shared" ref="T33:T38" si="11">IFERROR(R33/Q33,0)</f>
        <v>0</v>
      </c>
      <c r="U33" s="452"/>
      <c r="V33" s="453"/>
    </row>
    <row r="34" spans="1:22" ht="72" thickBot="1" x14ac:dyDescent="0.25">
      <c r="A34" s="611"/>
      <c r="B34" s="615"/>
      <c r="C34" s="439" t="s">
        <v>69</v>
      </c>
      <c r="D34" s="440"/>
      <c r="E34" s="440"/>
      <c r="F34" s="440"/>
      <c r="G34" s="458"/>
      <c r="H34" s="447"/>
      <c r="I34" s="454">
        <v>0</v>
      </c>
      <c r="J34" s="455">
        <v>0</v>
      </c>
      <c r="K34" s="443">
        <f>Engineering6881[[#This Row],[Column7]]-Engineering6881[[#This Row],[Column8]]</f>
        <v>0</v>
      </c>
      <c r="L34" s="444">
        <f t="shared" si="9"/>
        <v>0</v>
      </c>
      <c r="M34" s="456">
        <v>0</v>
      </c>
      <c r="N34" s="455">
        <v>0</v>
      </c>
      <c r="O34" s="443">
        <f>Engineering6881[[#This Row],[Column11]]-Engineering6881[[#This Row],[Column12]]</f>
        <v>0</v>
      </c>
      <c r="P34" s="444">
        <f t="shared" si="10"/>
        <v>0</v>
      </c>
      <c r="Q34" s="476">
        <v>0</v>
      </c>
      <c r="R34" s="477">
        <v>0</v>
      </c>
      <c r="S34" s="478"/>
      <c r="T34" s="473">
        <f t="shared" si="11"/>
        <v>0</v>
      </c>
      <c r="U34" s="458"/>
      <c r="V34" s="447"/>
    </row>
    <row r="35" spans="1:22" ht="72" thickBot="1" x14ac:dyDescent="0.25">
      <c r="A35" s="611"/>
      <c r="B35" s="615"/>
      <c r="C35" s="439" t="s">
        <v>69</v>
      </c>
      <c r="D35" s="440"/>
      <c r="E35" s="440"/>
      <c r="F35" s="440"/>
      <c r="G35" s="458"/>
      <c r="H35" s="447"/>
      <c r="I35" s="454">
        <v>0</v>
      </c>
      <c r="J35" s="455">
        <v>0</v>
      </c>
      <c r="K35" s="443">
        <f>Engineering6881[[#This Row],[Column7]]-Engineering6881[[#This Row],[Column8]]</f>
        <v>0</v>
      </c>
      <c r="L35" s="444">
        <f t="shared" si="9"/>
        <v>0</v>
      </c>
      <c r="M35" s="456">
        <v>0</v>
      </c>
      <c r="N35" s="455">
        <v>0</v>
      </c>
      <c r="O35" s="443">
        <f>Engineering6881[[#This Row],[Column11]]-Engineering6881[[#This Row],[Column12]]</f>
        <v>0</v>
      </c>
      <c r="P35" s="444">
        <f t="shared" si="10"/>
        <v>0</v>
      </c>
      <c r="Q35" s="476">
        <v>0</v>
      </c>
      <c r="R35" s="477">
        <v>0</v>
      </c>
      <c r="S35" s="478"/>
      <c r="T35" s="473">
        <f t="shared" si="11"/>
        <v>0</v>
      </c>
      <c r="U35" s="458"/>
      <c r="V35" s="447"/>
    </row>
    <row r="36" spans="1:22" ht="72" thickBot="1" x14ac:dyDescent="0.25">
      <c r="A36" s="611"/>
      <c r="B36" s="615"/>
      <c r="C36" s="439" t="s">
        <v>69</v>
      </c>
      <c r="D36" s="440"/>
      <c r="E36" s="440"/>
      <c r="F36" s="440"/>
      <c r="G36" s="458"/>
      <c r="H36" s="447"/>
      <c r="I36" s="454">
        <v>0</v>
      </c>
      <c r="J36" s="455">
        <v>0</v>
      </c>
      <c r="K36" s="443">
        <f>Engineering6881[[#This Row],[Column7]]-Engineering6881[[#This Row],[Column8]]</f>
        <v>0</v>
      </c>
      <c r="L36" s="444">
        <f t="shared" si="9"/>
        <v>0</v>
      </c>
      <c r="M36" s="456">
        <v>0</v>
      </c>
      <c r="N36" s="455">
        <v>0</v>
      </c>
      <c r="O36" s="443">
        <f>Engineering6881[[#This Row],[Column11]]-Engineering6881[[#This Row],[Column12]]</f>
        <v>0</v>
      </c>
      <c r="P36" s="444">
        <f t="shared" si="10"/>
        <v>0</v>
      </c>
      <c r="Q36" s="476">
        <v>0</v>
      </c>
      <c r="R36" s="477">
        <v>0</v>
      </c>
      <c r="S36" s="478"/>
      <c r="T36" s="473">
        <f t="shared" si="11"/>
        <v>0</v>
      </c>
      <c r="U36" s="458"/>
      <c r="V36" s="447"/>
    </row>
    <row r="37" spans="1:22" ht="72" thickBot="1" x14ac:dyDescent="0.25">
      <c r="A37" s="612"/>
      <c r="B37" s="616"/>
      <c r="C37" s="439" t="s">
        <v>69</v>
      </c>
      <c r="D37" s="440"/>
      <c r="E37" s="440"/>
      <c r="F37" s="440"/>
      <c r="G37" s="458"/>
      <c r="H37" s="447"/>
      <c r="I37" s="454">
        <v>0</v>
      </c>
      <c r="J37" s="455">
        <v>0</v>
      </c>
      <c r="K37" s="443">
        <f>Engineering6881[[#This Row],[Column7]]-Engineering6881[[#This Row],[Column8]]</f>
        <v>0</v>
      </c>
      <c r="L37" s="444">
        <f t="shared" si="9"/>
        <v>0</v>
      </c>
      <c r="M37" s="456">
        <v>0</v>
      </c>
      <c r="N37" s="455">
        <v>0</v>
      </c>
      <c r="O37" s="443">
        <f>Engineering6881[[#This Row],[Column11]]-Engineering6881[[#This Row],[Column12]]</f>
        <v>0</v>
      </c>
      <c r="P37" s="444">
        <f t="shared" si="10"/>
        <v>0</v>
      </c>
      <c r="Q37" s="476">
        <v>0</v>
      </c>
      <c r="R37" s="477">
        <v>0</v>
      </c>
      <c r="S37" s="478"/>
      <c r="T37" s="473">
        <f t="shared" si="11"/>
        <v>0</v>
      </c>
      <c r="U37" s="458"/>
      <c r="V37" s="458"/>
    </row>
    <row r="38" spans="1:22" s="1" customFormat="1" ht="22" thickTop="1" thickBot="1" x14ac:dyDescent="0.25">
      <c r="A38" s="420"/>
      <c r="B38" s="411" t="s">
        <v>70</v>
      </c>
      <c r="C38" s="412"/>
      <c r="D38" s="413"/>
      <c r="E38" s="413"/>
      <c r="F38" s="413"/>
      <c r="G38" s="413"/>
      <c r="H38" s="413"/>
      <c r="I38" s="414">
        <f>SUBTOTAL(109,Engineering6881[Column7])</f>
        <v>0</v>
      </c>
      <c r="J38" s="413">
        <f>SUBTOTAL(109,Engineering6881[Column8])</f>
        <v>0</v>
      </c>
      <c r="K38" s="413">
        <f>SUBTOTAL(109,Engineering6881[Column9])</f>
        <v>0</v>
      </c>
      <c r="L38" s="415">
        <f t="shared" si="9"/>
        <v>0</v>
      </c>
      <c r="M38" s="414">
        <f>SUBTOTAL(109,Engineering6881[Column11])</f>
        <v>0</v>
      </c>
      <c r="N38" s="413">
        <f>SUBTOTAL(109,Engineering6881[Column12])</f>
        <v>0</v>
      </c>
      <c r="O38" s="413">
        <f>SUBTOTAL(109,Engineering6881[Column13])</f>
        <v>0</v>
      </c>
      <c r="P38" s="415">
        <f t="shared" si="10"/>
        <v>0</v>
      </c>
      <c r="Q38" s="416">
        <f>SUBTOTAL(109,Engineering6881[Column15])</f>
        <v>0</v>
      </c>
      <c r="R38" s="417">
        <f>SUBTOTAL(109,Engineering6881[Column16])</f>
        <v>0</v>
      </c>
      <c r="S38" s="418">
        <f>SUBTOTAL(109,Engineering6881[Column17])</f>
        <v>0</v>
      </c>
      <c r="T38" s="490">
        <f t="shared" si="11"/>
        <v>0</v>
      </c>
      <c r="U38" s="491"/>
      <c r="V38" s="491"/>
    </row>
    <row r="39" spans="1:22" ht="18" thickBot="1" x14ac:dyDescent="0.25">
      <c r="V39" s="2"/>
    </row>
    <row r="40" spans="1:22" ht="72" thickBot="1" x14ac:dyDescent="0.25">
      <c r="A40" s="610">
        <v>5</v>
      </c>
      <c r="B40" s="614" t="s">
        <v>12</v>
      </c>
      <c r="C40" s="439" t="s">
        <v>69</v>
      </c>
      <c r="D40" s="440"/>
      <c r="E40" s="440"/>
      <c r="F40" s="440"/>
      <c r="G40" s="452"/>
      <c r="H40" s="453"/>
      <c r="I40" s="454">
        <v>0</v>
      </c>
      <c r="J40" s="455">
        <v>0</v>
      </c>
      <c r="K40" s="443">
        <f>Engineering688182[[#This Row],[Column7]]-Engineering688182[[#This Row],[Column8]]</f>
        <v>0</v>
      </c>
      <c r="L40" s="444">
        <f t="shared" ref="L40:L45" si="12">IFERROR(J40/I40,0)</f>
        <v>0</v>
      </c>
      <c r="M40" s="456">
        <v>0</v>
      </c>
      <c r="N40" s="455">
        <v>0</v>
      </c>
      <c r="O40" s="443">
        <f>Engineering688182[[#This Row],[Column11]]-Engineering688182[[#This Row],[Column12]]</f>
        <v>0</v>
      </c>
      <c r="P40" s="444">
        <f t="shared" ref="P40:P45" si="13">IFERROR(N40/M40,0)</f>
        <v>0</v>
      </c>
      <c r="Q40" s="459">
        <v>0</v>
      </c>
      <c r="R40" s="457">
        <v>0</v>
      </c>
      <c r="S40" s="446">
        <f>Engineering688182[[#This Row],[Column15]]-Engineering688182[[#This Row],[Column16]]</f>
        <v>0</v>
      </c>
      <c r="T40" s="444">
        <f t="shared" ref="T40:T45" si="14">IFERROR(R40/Q40,0)</f>
        <v>0</v>
      </c>
      <c r="U40" s="452"/>
      <c r="V40" s="453"/>
    </row>
    <row r="41" spans="1:22" ht="72" thickBot="1" x14ac:dyDescent="0.25">
      <c r="A41" s="611"/>
      <c r="B41" s="615"/>
      <c r="C41" s="439" t="s">
        <v>69</v>
      </c>
      <c r="D41" s="440"/>
      <c r="E41" s="440"/>
      <c r="F41" s="440"/>
      <c r="G41" s="458"/>
      <c r="H41" s="447"/>
      <c r="I41" s="454">
        <v>0</v>
      </c>
      <c r="J41" s="455">
        <v>0</v>
      </c>
      <c r="K41" s="443">
        <f>Engineering688182[[#This Row],[Column7]]-Engineering688182[[#This Row],[Column8]]</f>
        <v>0</v>
      </c>
      <c r="L41" s="444">
        <f t="shared" si="12"/>
        <v>0</v>
      </c>
      <c r="M41" s="456">
        <v>0</v>
      </c>
      <c r="N41" s="455">
        <v>0</v>
      </c>
      <c r="O41" s="443">
        <f>Engineering688182[[#This Row],[Column11]]-Engineering688182[[#This Row],[Column12]]</f>
        <v>0</v>
      </c>
      <c r="P41" s="444">
        <f t="shared" si="13"/>
        <v>0</v>
      </c>
      <c r="Q41" s="459">
        <v>0</v>
      </c>
      <c r="R41" s="457">
        <v>0</v>
      </c>
      <c r="S41" s="446">
        <f>Engineering688182[[#This Row],[Column15]]-Engineering688182[[#This Row],[Column16]]</f>
        <v>0</v>
      </c>
      <c r="T41" s="444">
        <f t="shared" si="14"/>
        <v>0</v>
      </c>
      <c r="U41" s="458"/>
      <c r="V41" s="447"/>
    </row>
    <row r="42" spans="1:22" ht="72" thickBot="1" x14ac:dyDescent="0.25">
      <c r="A42" s="611"/>
      <c r="B42" s="615"/>
      <c r="C42" s="439" t="s">
        <v>69</v>
      </c>
      <c r="D42" s="440"/>
      <c r="E42" s="440"/>
      <c r="F42" s="440"/>
      <c r="G42" s="458"/>
      <c r="H42" s="447"/>
      <c r="I42" s="454">
        <v>0</v>
      </c>
      <c r="J42" s="455">
        <v>0</v>
      </c>
      <c r="K42" s="443">
        <f>Engineering688182[[#This Row],[Column7]]-Engineering688182[[#This Row],[Column8]]</f>
        <v>0</v>
      </c>
      <c r="L42" s="444">
        <f t="shared" si="12"/>
        <v>0</v>
      </c>
      <c r="M42" s="456">
        <v>0</v>
      </c>
      <c r="N42" s="455">
        <v>0</v>
      </c>
      <c r="O42" s="443">
        <f>Engineering688182[[#This Row],[Column11]]-Engineering688182[[#This Row],[Column12]]</f>
        <v>0</v>
      </c>
      <c r="P42" s="444">
        <f t="shared" si="13"/>
        <v>0</v>
      </c>
      <c r="Q42" s="459">
        <v>0</v>
      </c>
      <c r="R42" s="457">
        <v>0</v>
      </c>
      <c r="S42" s="446">
        <f>Engineering688182[[#This Row],[Column15]]-Engineering688182[[#This Row],[Column16]]</f>
        <v>0</v>
      </c>
      <c r="T42" s="444">
        <f t="shared" si="14"/>
        <v>0</v>
      </c>
      <c r="U42" s="458"/>
      <c r="V42" s="447"/>
    </row>
    <row r="43" spans="1:22" ht="72" thickBot="1" x14ac:dyDescent="0.25">
      <c r="A43" s="611"/>
      <c r="B43" s="615"/>
      <c r="C43" s="439" t="s">
        <v>69</v>
      </c>
      <c r="D43" s="440"/>
      <c r="E43" s="440"/>
      <c r="F43" s="440"/>
      <c r="G43" s="458"/>
      <c r="H43" s="447"/>
      <c r="I43" s="454">
        <v>0</v>
      </c>
      <c r="J43" s="455">
        <v>0</v>
      </c>
      <c r="K43" s="443">
        <f>Engineering688182[[#This Row],[Column7]]-Engineering688182[[#This Row],[Column8]]</f>
        <v>0</v>
      </c>
      <c r="L43" s="444">
        <f t="shared" si="12"/>
        <v>0</v>
      </c>
      <c r="M43" s="456">
        <v>0</v>
      </c>
      <c r="N43" s="455">
        <v>0</v>
      </c>
      <c r="O43" s="443">
        <f>Engineering688182[[#This Row],[Column11]]-Engineering688182[[#This Row],[Column12]]</f>
        <v>0</v>
      </c>
      <c r="P43" s="444">
        <f t="shared" si="13"/>
        <v>0</v>
      </c>
      <c r="Q43" s="459">
        <v>0</v>
      </c>
      <c r="R43" s="457">
        <v>0</v>
      </c>
      <c r="S43" s="446">
        <f>Engineering688182[[#This Row],[Column15]]-Engineering688182[[#This Row],[Column16]]</f>
        <v>0</v>
      </c>
      <c r="T43" s="444">
        <f t="shared" si="14"/>
        <v>0</v>
      </c>
      <c r="U43" s="458"/>
      <c r="V43" s="447"/>
    </row>
    <row r="44" spans="1:22" ht="72" thickBot="1" x14ac:dyDescent="0.25">
      <c r="A44" s="612"/>
      <c r="B44" s="616"/>
      <c r="C44" s="439" t="s">
        <v>69</v>
      </c>
      <c r="D44" s="440"/>
      <c r="E44" s="440"/>
      <c r="F44" s="440"/>
      <c r="G44" s="458"/>
      <c r="H44" s="447"/>
      <c r="I44" s="454">
        <v>0</v>
      </c>
      <c r="J44" s="455">
        <v>0</v>
      </c>
      <c r="K44" s="443">
        <f>Engineering688182[[#This Row],[Column7]]-Engineering688182[[#This Row],[Column8]]</f>
        <v>0</v>
      </c>
      <c r="L44" s="444">
        <f t="shared" si="12"/>
        <v>0</v>
      </c>
      <c r="M44" s="456">
        <v>0</v>
      </c>
      <c r="N44" s="455">
        <v>0</v>
      </c>
      <c r="O44" s="443">
        <f>Engineering688182[[#This Row],[Column11]]-Engineering688182[[#This Row],[Column12]]</f>
        <v>0</v>
      </c>
      <c r="P44" s="444">
        <f t="shared" si="13"/>
        <v>0</v>
      </c>
      <c r="Q44" s="459">
        <v>0</v>
      </c>
      <c r="R44" s="457">
        <v>0</v>
      </c>
      <c r="S44" s="446">
        <f>Engineering688182[[#This Row],[Column15]]-Engineering688182[[#This Row],[Column16]]</f>
        <v>0</v>
      </c>
      <c r="T44" s="444">
        <f t="shared" si="14"/>
        <v>0</v>
      </c>
      <c r="U44" s="458"/>
      <c r="V44" s="458"/>
    </row>
    <row r="45" spans="1:22" s="1" customFormat="1" ht="22" thickTop="1" thickBot="1" x14ac:dyDescent="0.25">
      <c r="A45" s="420"/>
      <c r="B45" s="411" t="s">
        <v>70</v>
      </c>
      <c r="C45" s="412"/>
      <c r="D45" s="413"/>
      <c r="E45" s="413"/>
      <c r="F45" s="413"/>
      <c r="G45" s="413"/>
      <c r="H45" s="413"/>
      <c r="I45" s="414">
        <f>SUBTOTAL(109,Engineering688182[Column7])</f>
        <v>0</v>
      </c>
      <c r="J45" s="413">
        <f>SUBTOTAL(109,Engineering688182[Column8])</f>
        <v>0</v>
      </c>
      <c r="K45" s="413">
        <f>SUBTOTAL(109,Engineering688182[Column9])</f>
        <v>0</v>
      </c>
      <c r="L45" s="415">
        <f t="shared" si="12"/>
        <v>0</v>
      </c>
      <c r="M45" s="414">
        <f>SUBTOTAL(109,Engineering688182[Column11])</f>
        <v>0</v>
      </c>
      <c r="N45" s="413">
        <f>SUBTOTAL(109,Engineering688182[Column12])</f>
        <v>0</v>
      </c>
      <c r="O45" s="413">
        <f>SUBTOTAL(109,Engineering688182[Column13])</f>
        <v>0</v>
      </c>
      <c r="P45" s="415">
        <f t="shared" si="13"/>
        <v>0</v>
      </c>
      <c r="Q45" s="416">
        <f>SUBTOTAL(109,Engineering688182[Column15])</f>
        <v>0</v>
      </c>
      <c r="R45" s="417">
        <f>SUBTOTAL(109,Engineering688182[Column16])</f>
        <v>0</v>
      </c>
      <c r="S45" s="418">
        <f>SUBTOTAL(109,Engineering688182[Column17])</f>
        <v>0</v>
      </c>
      <c r="T45" s="490">
        <f t="shared" si="14"/>
        <v>0</v>
      </c>
      <c r="U45" s="491"/>
      <c r="V45" s="491"/>
    </row>
    <row r="46" spans="1:22" ht="18" thickBot="1" x14ac:dyDescent="0.25">
      <c r="V46" s="2"/>
    </row>
    <row r="47" spans="1:22" ht="72" thickBot="1" x14ac:dyDescent="0.25">
      <c r="A47" s="610">
        <v>6</v>
      </c>
      <c r="B47" s="614" t="s">
        <v>14</v>
      </c>
      <c r="C47" s="439" t="s">
        <v>69</v>
      </c>
      <c r="D47" s="440"/>
      <c r="E47" s="440"/>
      <c r="F47" s="440"/>
      <c r="G47" s="452"/>
      <c r="H47" s="453"/>
      <c r="I47" s="460">
        <v>0</v>
      </c>
      <c r="J47" s="461">
        <v>0</v>
      </c>
      <c r="K47" s="443">
        <f>Engineering688183[[#This Row],[Column7]]-Engineering688183[[#This Row],[Column8]]</f>
        <v>0</v>
      </c>
      <c r="L47" s="444">
        <f>IFERROR(J47/I47,0)</f>
        <v>0</v>
      </c>
      <c r="M47" s="462">
        <v>0</v>
      </c>
      <c r="N47" s="461">
        <v>0</v>
      </c>
      <c r="O47" s="443">
        <f>Engineering688183[[#This Row],[Column11]]-Engineering688183[[#This Row],[Column12]]</f>
        <v>0</v>
      </c>
      <c r="P47" s="444">
        <f>IFERROR(N47/M47,0)</f>
        <v>0</v>
      </c>
      <c r="Q47" s="463">
        <v>0</v>
      </c>
      <c r="R47" s="464">
        <v>0</v>
      </c>
      <c r="S47" s="446">
        <f>Engineering688183[[#This Row],[Column15]]-Engineering688183[[#This Row],[Column16]]</f>
        <v>0</v>
      </c>
      <c r="T47" s="444">
        <f t="shared" ref="T47:T52" si="15">IFERROR(R47/Q47,0)</f>
        <v>0</v>
      </c>
      <c r="U47" s="458"/>
      <c r="V47" s="447"/>
    </row>
    <row r="48" spans="1:22" ht="72" thickBot="1" x14ac:dyDescent="0.25">
      <c r="A48" s="611"/>
      <c r="B48" s="615"/>
      <c r="C48" s="439" t="s">
        <v>69</v>
      </c>
      <c r="D48" s="440"/>
      <c r="E48" s="440"/>
      <c r="F48" s="440"/>
      <c r="G48" s="458"/>
      <c r="H48" s="447"/>
      <c r="I48" s="460">
        <v>0</v>
      </c>
      <c r="J48" s="461">
        <v>0</v>
      </c>
      <c r="K48" s="443">
        <f>Engineering688183[[#This Row],[Column7]]-Engineering688183[[#This Row],[Column8]]</f>
        <v>0</v>
      </c>
      <c r="L48" s="444">
        <f>IFERROR(J50/I50,0)</f>
        <v>0</v>
      </c>
      <c r="M48" s="462">
        <v>0</v>
      </c>
      <c r="N48" s="461">
        <v>0</v>
      </c>
      <c r="O48" s="443">
        <f>Engineering688183[[#This Row],[Column11]]-Engineering688183[[#This Row],[Column12]]</f>
        <v>0</v>
      </c>
      <c r="P48" s="444">
        <f>IFERROR(N50/M50,0)</f>
        <v>0</v>
      </c>
      <c r="Q48" s="463">
        <v>0</v>
      </c>
      <c r="R48" s="464">
        <v>0</v>
      </c>
      <c r="S48" s="446">
        <f>Engineering688183[[#This Row],[Column15]]-Engineering688183[[#This Row],[Column16]]</f>
        <v>0</v>
      </c>
      <c r="T48" s="444">
        <f t="shared" si="15"/>
        <v>0</v>
      </c>
      <c r="U48" s="458"/>
      <c r="V48" s="447"/>
    </row>
    <row r="49" spans="1:22" ht="72" thickBot="1" x14ac:dyDescent="0.25">
      <c r="A49" s="611"/>
      <c r="B49" s="615"/>
      <c r="C49" s="439" t="s">
        <v>69</v>
      </c>
      <c r="D49" s="440"/>
      <c r="E49" s="440"/>
      <c r="F49" s="440"/>
      <c r="G49" s="458"/>
      <c r="H49" s="447"/>
      <c r="I49" s="460">
        <v>0</v>
      </c>
      <c r="J49" s="461">
        <v>0</v>
      </c>
      <c r="K49" s="443">
        <f>Engineering688183[[#This Row],[Column7]]-Engineering688183[[#This Row],[Column8]]</f>
        <v>0</v>
      </c>
      <c r="L49" s="444">
        <f>IFERROR(J49/I49,0)</f>
        <v>0</v>
      </c>
      <c r="M49" s="462">
        <v>0</v>
      </c>
      <c r="N49" s="461">
        <v>0</v>
      </c>
      <c r="O49" s="443">
        <f>Engineering688183[[#This Row],[Column11]]-Engineering688183[[#This Row],[Column12]]</f>
        <v>0</v>
      </c>
      <c r="P49" s="444">
        <f>IFERROR(N49/M49,0)</f>
        <v>0</v>
      </c>
      <c r="Q49" s="463">
        <v>0</v>
      </c>
      <c r="R49" s="464">
        <v>0</v>
      </c>
      <c r="S49" s="446">
        <f>Engineering688183[[#This Row],[Column15]]-Engineering688183[[#This Row],[Column16]]</f>
        <v>0</v>
      </c>
      <c r="T49" s="444">
        <f t="shared" si="15"/>
        <v>0</v>
      </c>
      <c r="U49" s="458"/>
      <c r="V49" s="447"/>
    </row>
    <row r="50" spans="1:22" ht="72" thickBot="1" x14ac:dyDescent="0.25">
      <c r="A50" s="611"/>
      <c r="B50" s="615"/>
      <c r="C50" s="439" t="s">
        <v>69</v>
      </c>
      <c r="D50" s="440"/>
      <c r="E50" s="440"/>
      <c r="F50" s="440"/>
      <c r="G50" s="458"/>
      <c r="H50" s="447"/>
      <c r="I50" s="460">
        <v>0</v>
      </c>
      <c r="J50" s="461">
        <v>0</v>
      </c>
      <c r="K50" s="443">
        <f>Engineering688183[[#This Row],[Column7]]-Engineering688183[[#This Row],[Column8]]</f>
        <v>0</v>
      </c>
      <c r="L50" s="444">
        <f>IFERROR(J50/I50,0)</f>
        <v>0</v>
      </c>
      <c r="M50" s="462">
        <v>0</v>
      </c>
      <c r="N50" s="461">
        <v>0</v>
      </c>
      <c r="O50" s="443">
        <f>Engineering688183[[#This Row],[Column11]]-Engineering688183[[#This Row],[Column12]]</f>
        <v>0</v>
      </c>
      <c r="P50" s="444">
        <f>IFERROR(N50/M50,0)</f>
        <v>0</v>
      </c>
      <c r="Q50" s="463">
        <v>0</v>
      </c>
      <c r="R50" s="464">
        <v>0</v>
      </c>
      <c r="S50" s="446">
        <f>Engineering688183[[#This Row],[Column15]]-Engineering688183[[#This Row],[Column16]]</f>
        <v>0</v>
      </c>
      <c r="T50" s="444">
        <f t="shared" si="15"/>
        <v>0</v>
      </c>
      <c r="U50" s="458"/>
      <c r="V50" s="447"/>
    </row>
    <row r="51" spans="1:22" ht="72" thickBot="1" x14ac:dyDescent="0.25">
      <c r="A51" s="612"/>
      <c r="B51" s="616"/>
      <c r="C51" s="439" t="s">
        <v>69</v>
      </c>
      <c r="D51" s="440"/>
      <c r="E51" s="440"/>
      <c r="F51" s="440"/>
      <c r="G51" s="458"/>
      <c r="H51" s="447"/>
      <c r="I51" s="460">
        <v>0</v>
      </c>
      <c r="J51" s="461">
        <v>0</v>
      </c>
      <c r="K51" s="443">
        <f>Engineering688183[[#This Row],[Column7]]-Engineering688183[[#This Row],[Column8]]</f>
        <v>0</v>
      </c>
      <c r="L51" s="444">
        <f>IFERROR(J51/I51,0)</f>
        <v>0</v>
      </c>
      <c r="M51" s="462">
        <v>0</v>
      </c>
      <c r="N51" s="461">
        <v>0</v>
      </c>
      <c r="O51" s="443">
        <f>Engineering688183[[#This Row],[Column11]]-Engineering688183[[#This Row],[Column12]]</f>
        <v>0</v>
      </c>
      <c r="P51" s="444">
        <f>IFERROR(N51/M51,0)</f>
        <v>0</v>
      </c>
      <c r="Q51" s="463">
        <v>0</v>
      </c>
      <c r="R51" s="464">
        <v>0</v>
      </c>
      <c r="S51" s="446">
        <f>Engineering688183[[#This Row],[Column15]]-Engineering688183[[#This Row],[Column16]]</f>
        <v>0</v>
      </c>
      <c r="T51" s="444">
        <f t="shared" si="15"/>
        <v>0</v>
      </c>
      <c r="U51" s="447"/>
      <c r="V51" s="447"/>
    </row>
    <row r="52" spans="1:22" s="1" customFormat="1" ht="22" thickTop="1" thickBot="1" x14ac:dyDescent="0.25">
      <c r="A52" s="420"/>
      <c r="B52" s="411" t="s">
        <v>70</v>
      </c>
      <c r="C52" s="412"/>
      <c r="D52" s="413"/>
      <c r="E52" s="413"/>
      <c r="F52" s="413"/>
      <c r="G52" s="413"/>
      <c r="H52" s="413"/>
      <c r="I52" s="414">
        <f>SUBTOTAL(109,Engineering688183[Column7])</f>
        <v>0</v>
      </c>
      <c r="J52" s="413">
        <f>SUBTOTAL(109,Engineering688183[Column8])</f>
        <v>0</v>
      </c>
      <c r="K52" s="413">
        <f>SUBTOTAL(109,Engineering688183[Column9])</f>
        <v>0</v>
      </c>
      <c r="L52" s="415">
        <f>IFERROR(J52/I52,0)</f>
        <v>0</v>
      </c>
      <c r="M52" s="414">
        <f>SUBTOTAL(109,Engineering688183[Column11])</f>
        <v>0</v>
      </c>
      <c r="N52" s="413">
        <f>SUBTOTAL(109,Engineering688183[Column12])</f>
        <v>0</v>
      </c>
      <c r="O52" s="413">
        <f>SUBTOTAL(109,Engineering688183[Column13])</f>
        <v>0</v>
      </c>
      <c r="P52" s="415">
        <f>IFERROR(N52/M52,0)</f>
        <v>0</v>
      </c>
      <c r="Q52" s="416">
        <f>SUBTOTAL(109,Engineering688183[Column15])</f>
        <v>0</v>
      </c>
      <c r="R52" s="417">
        <f>SUBTOTAL(109,Engineering688183[Column16])</f>
        <v>0</v>
      </c>
      <c r="S52" s="418">
        <f>SUBTOTAL(109,Engineering688183[Column17])</f>
        <v>0</v>
      </c>
      <c r="T52" s="422">
        <f t="shared" si="15"/>
        <v>0</v>
      </c>
      <c r="U52" s="413"/>
      <c r="V52" s="413"/>
    </row>
    <row r="53" spans="1:22" ht="18" thickBot="1" x14ac:dyDescent="0.25">
      <c r="V53" s="2"/>
    </row>
    <row r="54" spans="1:22" ht="72" thickBot="1" x14ac:dyDescent="0.25">
      <c r="A54" s="610">
        <v>7</v>
      </c>
      <c r="B54" s="614" t="s">
        <v>16</v>
      </c>
      <c r="C54" s="439" t="s">
        <v>69</v>
      </c>
      <c r="D54" s="440"/>
      <c r="E54" s="440"/>
      <c r="F54" s="440"/>
      <c r="G54" s="452"/>
      <c r="H54" s="453"/>
      <c r="I54" s="460">
        <v>0</v>
      </c>
      <c r="J54" s="461">
        <v>0</v>
      </c>
      <c r="K54" s="443">
        <f>Engineering688184[[#This Row],[Column7]]-Engineering688184[[#This Row],[Column8]]</f>
        <v>0</v>
      </c>
      <c r="L54" s="444">
        <f>IFERROR(J54/I54,0)</f>
        <v>0</v>
      </c>
      <c r="M54" s="462">
        <v>0</v>
      </c>
      <c r="N54" s="461">
        <v>0</v>
      </c>
      <c r="O54" s="443">
        <f>Engineering688184[[#This Row],[Column11]]-Engineering688184[[#This Row],[Column12]]</f>
        <v>0</v>
      </c>
      <c r="P54" s="444">
        <f>IFERROR(N54/M54,0)</f>
        <v>0</v>
      </c>
      <c r="Q54" s="463">
        <v>0</v>
      </c>
      <c r="R54" s="464">
        <v>0</v>
      </c>
      <c r="S54" s="446">
        <f>Engineering688184[[#This Row],[Column15]]-Engineering688184[[#This Row],[Column16]]</f>
        <v>0</v>
      </c>
      <c r="T54" s="444">
        <f t="shared" ref="T54:T59" si="16">IFERROR(R54/Q54,0)</f>
        <v>0</v>
      </c>
      <c r="U54" s="458"/>
      <c r="V54" s="447"/>
    </row>
    <row r="55" spans="1:22" ht="72" thickBot="1" x14ac:dyDescent="0.25">
      <c r="A55" s="611"/>
      <c r="B55" s="615"/>
      <c r="C55" s="439" t="s">
        <v>69</v>
      </c>
      <c r="D55" s="440"/>
      <c r="E55" s="440"/>
      <c r="F55" s="440"/>
      <c r="G55" s="458"/>
      <c r="H55" s="447"/>
      <c r="I55" s="460">
        <v>0</v>
      </c>
      <c r="J55" s="461">
        <v>0</v>
      </c>
      <c r="K55" s="443">
        <f>Engineering688184[[#This Row],[Column7]]-Engineering688184[[#This Row],[Column8]]</f>
        <v>0</v>
      </c>
      <c r="L55" s="444">
        <f>IFERROR(J57/I57,0)</f>
        <v>0</v>
      </c>
      <c r="M55" s="462">
        <v>0</v>
      </c>
      <c r="N55" s="461">
        <v>0</v>
      </c>
      <c r="O55" s="443">
        <f>Engineering688184[[#This Row],[Column11]]-Engineering688184[[#This Row],[Column12]]</f>
        <v>0</v>
      </c>
      <c r="P55" s="444">
        <f>IFERROR(N57/M57,0)</f>
        <v>0</v>
      </c>
      <c r="Q55" s="463">
        <v>0</v>
      </c>
      <c r="R55" s="464">
        <v>0</v>
      </c>
      <c r="S55" s="446">
        <f>Engineering688184[[#This Row],[Column15]]-Engineering688184[[#This Row],[Column16]]</f>
        <v>0</v>
      </c>
      <c r="T55" s="444">
        <f t="shared" si="16"/>
        <v>0</v>
      </c>
      <c r="U55" s="458"/>
      <c r="V55" s="447"/>
    </row>
    <row r="56" spans="1:22" ht="72" thickBot="1" x14ac:dyDescent="0.25">
      <c r="A56" s="611"/>
      <c r="B56" s="615"/>
      <c r="C56" s="439" t="s">
        <v>69</v>
      </c>
      <c r="D56" s="440"/>
      <c r="E56" s="440"/>
      <c r="F56" s="440"/>
      <c r="G56" s="458"/>
      <c r="H56" s="447"/>
      <c r="I56" s="460">
        <v>0</v>
      </c>
      <c r="J56" s="461">
        <v>0</v>
      </c>
      <c r="K56" s="443">
        <f>Engineering688184[[#This Row],[Column7]]-Engineering688184[[#This Row],[Column8]]</f>
        <v>0</v>
      </c>
      <c r="L56" s="444">
        <f>IFERROR(J56/I56,0)</f>
        <v>0</v>
      </c>
      <c r="M56" s="462">
        <v>0</v>
      </c>
      <c r="N56" s="461">
        <v>0</v>
      </c>
      <c r="O56" s="443">
        <f>Engineering688184[[#This Row],[Column11]]-Engineering688184[[#This Row],[Column12]]</f>
        <v>0</v>
      </c>
      <c r="P56" s="444">
        <f>IFERROR(N56/M56,0)</f>
        <v>0</v>
      </c>
      <c r="Q56" s="463">
        <v>0</v>
      </c>
      <c r="R56" s="464">
        <v>0</v>
      </c>
      <c r="S56" s="446">
        <f>Engineering688184[[#This Row],[Column15]]-Engineering688184[[#This Row],[Column16]]</f>
        <v>0</v>
      </c>
      <c r="T56" s="444">
        <f t="shared" si="16"/>
        <v>0</v>
      </c>
      <c r="U56" s="458"/>
      <c r="V56" s="447"/>
    </row>
    <row r="57" spans="1:22" ht="72" thickBot="1" x14ac:dyDescent="0.25">
      <c r="A57" s="611"/>
      <c r="B57" s="615"/>
      <c r="C57" s="439" t="s">
        <v>69</v>
      </c>
      <c r="D57" s="440"/>
      <c r="E57" s="440"/>
      <c r="F57" s="440"/>
      <c r="G57" s="458"/>
      <c r="H57" s="447"/>
      <c r="I57" s="460">
        <v>0</v>
      </c>
      <c r="J57" s="461">
        <v>0</v>
      </c>
      <c r="K57" s="443">
        <f>Engineering688184[[#This Row],[Column7]]-Engineering688184[[#This Row],[Column8]]</f>
        <v>0</v>
      </c>
      <c r="L57" s="444">
        <f>IFERROR(J57/I57,0)</f>
        <v>0</v>
      </c>
      <c r="M57" s="462">
        <v>0</v>
      </c>
      <c r="N57" s="461">
        <v>0</v>
      </c>
      <c r="O57" s="443">
        <f>Engineering688184[[#This Row],[Column11]]-Engineering688184[[#This Row],[Column12]]</f>
        <v>0</v>
      </c>
      <c r="P57" s="444">
        <f>IFERROR(N57/M57,0)</f>
        <v>0</v>
      </c>
      <c r="Q57" s="463">
        <v>0</v>
      </c>
      <c r="R57" s="464">
        <v>0</v>
      </c>
      <c r="S57" s="446">
        <f>Engineering688184[[#This Row],[Column15]]-Engineering688184[[#This Row],[Column16]]</f>
        <v>0</v>
      </c>
      <c r="T57" s="444">
        <f t="shared" si="16"/>
        <v>0</v>
      </c>
      <c r="U57" s="458"/>
      <c r="V57" s="447"/>
    </row>
    <row r="58" spans="1:22" ht="72" thickBot="1" x14ac:dyDescent="0.25">
      <c r="A58" s="612"/>
      <c r="B58" s="616"/>
      <c r="C58" s="439" t="s">
        <v>69</v>
      </c>
      <c r="D58" s="440"/>
      <c r="E58" s="440"/>
      <c r="F58" s="440"/>
      <c r="G58" s="458"/>
      <c r="H58" s="447"/>
      <c r="I58" s="460">
        <v>0</v>
      </c>
      <c r="J58" s="461">
        <v>0</v>
      </c>
      <c r="K58" s="443">
        <f>Engineering688184[[#This Row],[Column7]]-Engineering688184[[#This Row],[Column8]]</f>
        <v>0</v>
      </c>
      <c r="L58" s="444">
        <f>IFERROR(J58/I58,0)</f>
        <v>0</v>
      </c>
      <c r="M58" s="462">
        <v>0</v>
      </c>
      <c r="N58" s="461">
        <v>0</v>
      </c>
      <c r="O58" s="443">
        <f>Engineering688184[[#This Row],[Column11]]-Engineering688184[[#This Row],[Column12]]</f>
        <v>0</v>
      </c>
      <c r="P58" s="444">
        <f>IFERROR(N58/M58,0)</f>
        <v>0</v>
      </c>
      <c r="Q58" s="463">
        <v>0</v>
      </c>
      <c r="R58" s="464">
        <v>0</v>
      </c>
      <c r="S58" s="446">
        <f>Engineering688184[[#This Row],[Column15]]-Engineering688184[[#This Row],[Column16]]</f>
        <v>0</v>
      </c>
      <c r="T58" s="444">
        <f t="shared" si="16"/>
        <v>0</v>
      </c>
      <c r="U58" s="447"/>
      <c r="V58" s="447"/>
    </row>
    <row r="59" spans="1:22" s="1" customFormat="1" ht="22" thickTop="1" thickBot="1" x14ac:dyDescent="0.25">
      <c r="A59" s="420"/>
      <c r="B59" s="411" t="s">
        <v>70</v>
      </c>
      <c r="C59" s="412"/>
      <c r="D59" s="413"/>
      <c r="E59" s="413"/>
      <c r="F59" s="413"/>
      <c r="G59" s="413"/>
      <c r="H59" s="413"/>
      <c r="I59" s="414">
        <f>SUBTOTAL(109,Engineering688184[Column7])</f>
        <v>0</v>
      </c>
      <c r="J59" s="413">
        <f>SUBTOTAL(109,Engineering688184[Column8])</f>
        <v>0</v>
      </c>
      <c r="K59" s="413">
        <f>SUBTOTAL(109,Engineering688184[Column9])</f>
        <v>0</v>
      </c>
      <c r="L59" s="415">
        <f>IFERROR(J59/I59,0)</f>
        <v>0</v>
      </c>
      <c r="M59" s="414">
        <f>SUBTOTAL(109,Engineering688184[Column11])</f>
        <v>0</v>
      </c>
      <c r="N59" s="413">
        <f>SUBTOTAL(109,Engineering688184[Column12])</f>
        <v>0</v>
      </c>
      <c r="O59" s="413">
        <f>SUBTOTAL(109,Engineering688184[Column13])</f>
        <v>0</v>
      </c>
      <c r="P59" s="415">
        <f>IFERROR(N59/M59,0)</f>
        <v>0</v>
      </c>
      <c r="Q59" s="416">
        <f>SUBTOTAL(109,Engineering688184[Column15])</f>
        <v>0</v>
      </c>
      <c r="R59" s="417">
        <f>SUBTOTAL(109,Engineering688184[Column16])</f>
        <v>0</v>
      </c>
      <c r="S59" s="418">
        <f>SUBTOTAL(109,Engineering688184[Column17])</f>
        <v>0</v>
      </c>
      <c r="T59" s="422">
        <f t="shared" si="16"/>
        <v>0</v>
      </c>
      <c r="U59" s="413"/>
      <c r="V59" s="413"/>
    </row>
    <row r="60" spans="1:22" ht="18" thickBot="1" x14ac:dyDescent="0.25">
      <c r="V60" s="2"/>
    </row>
    <row r="61" spans="1:22" ht="72" thickBot="1" x14ac:dyDescent="0.25">
      <c r="A61" s="610">
        <v>8</v>
      </c>
      <c r="B61" s="614" t="s">
        <v>18</v>
      </c>
      <c r="C61" s="439" t="s">
        <v>69</v>
      </c>
      <c r="D61" s="440"/>
      <c r="E61" s="440"/>
      <c r="F61" s="440"/>
      <c r="G61" s="452"/>
      <c r="H61" s="453"/>
      <c r="I61" s="460">
        <v>0</v>
      </c>
      <c r="J61" s="461">
        <v>0</v>
      </c>
      <c r="K61" s="443">
        <f>Engineering688185[[#This Row],[Column7]]-Engineering688185[[#This Row],[Column8]]</f>
        <v>0</v>
      </c>
      <c r="L61" s="444">
        <f>IFERROR(J61/I61,0)</f>
        <v>0</v>
      </c>
      <c r="M61" s="462">
        <v>0</v>
      </c>
      <c r="N61" s="461">
        <v>0</v>
      </c>
      <c r="O61" s="443">
        <f>Engineering688185[[#This Row],[Column11]]-Engineering688185[[#This Row],[Column12]]</f>
        <v>0</v>
      </c>
      <c r="P61" s="444">
        <f>IFERROR(N61/M61,0)</f>
        <v>0</v>
      </c>
      <c r="Q61" s="463">
        <v>0</v>
      </c>
      <c r="R61" s="464">
        <v>0</v>
      </c>
      <c r="S61" s="446">
        <f>Engineering688185[[#This Row],[Column15]]-Engineering688185[[#This Row],[Column16]]</f>
        <v>0</v>
      </c>
      <c r="T61" s="492">
        <f t="shared" ref="T61:T66" si="17">IFERROR(R61/Q61,0)</f>
        <v>0</v>
      </c>
      <c r="U61" s="458"/>
      <c r="V61" s="447"/>
    </row>
    <row r="62" spans="1:22" ht="72" thickBot="1" x14ac:dyDescent="0.25">
      <c r="A62" s="611"/>
      <c r="B62" s="615"/>
      <c r="C62" s="439" t="s">
        <v>69</v>
      </c>
      <c r="D62" s="440"/>
      <c r="E62" s="440"/>
      <c r="F62" s="461"/>
      <c r="G62" s="458"/>
      <c r="H62" s="447"/>
      <c r="I62" s="460">
        <v>0</v>
      </c>
      <c r="J62" s="461">
        <v>0</v>
      </c>
      <c r="K62" s="443">
        <f>Engineering688185[[#This Row],[Column7]]-Engineering688185[[#This Row],[Column8]]</f>
        <v>0</v>
      </c>
      <c r="L62" s="444">
        <f>IFERROR(J64/I64,0)</f>
        <v>0</v>
      </c>
      <c r="M62" s="462">
        <v>0</v>
      </c>
      <c r="N62" s="461">
        <v>0</v>
      </c>
      <c r="O62" s="443">
        <f>Engineering688185[[#This Row],[Column11]]-Engineering688185[[#This Row],[Column12]]</f>
        <v>0</v>
      </c>
      <c r="P62" s="444">
        <f>IFERROR(N64/M64,0)</f>
        <v>0</v>
      </c>
      <c r="Q62" s="463">
        <v>0</v>
      </c>
      <c r="R62" s="464">
        <v>0</v>
      </c>
      <c r="S62" s="446">
        <f>Engineering688185[[#This Row],[Column15]]-Engineering688185[[#This Row],[Column16]]</f>
        <v>0</v>
      </c>
      <c r="T62" s="492">
        <f t="shared" si="17"/>
        <v>0</v>
      </c>
      <c r="U62" s="458"/>
      <c r="V62" s="447"/>
    </row>
    <row r="63" spans="1:22" ht="72" thickBot="1" x14ac:dyDescent="0.25">
      <c r="A63" s="611"/>
      <c r="B63" s="615"/>
      <c r="C63" s="439" t="s">
        <v>69</v>
      </c>
      <c r="D63" s="440"/>
      <c r="E63" s="440"/>
      <c r="F63" s="461"/>
      <c r="G63" s="458"/>
      <c r="H63" s="447"/>
      <c r="I63" s="460">
        <v>0</v>
      </c>
      <c r="J63" s="461">
        <v>0</v>
      </c>
      <c r="K63" s="443">
        <f>Engineering688185[[#This Row],[Column7]]-Engineering688185[[#This Row],[Column8]]</f>
        <v>0</v>
      </c>
      <c r="L63" s="444">
        <f>IFERROR(J63/I63,0)</f>
        <v>0</v>
      </c>
      <c r="M63" s="462">
        <v>0</v>
      </c>
      <c r="N63" s="461">
        <v>0</v>
      </c>
      <c r="O63" s="443">
        <f>Engineering688185[[#This Row],[Column11]]-Engineering688185[[#This Row],[Column12]]</f>
        <v>0</v>
      </c>
      <c r="P63" s="444">
        <f>IFERROR(N63/M63,0)</f>
        <v>0</v>
      </c>
      <c r="Q63" s="463">
        <v>0</v>
      </c>
      <c r="R63" s="464">
        <v>0</v>
      </c>
      <c r="S63" s="446">
        <f>Engineering688185[[#This Row],[Column15]]-Engineering688185[[#This Row],[Column16]]</f>
        <v>0</v>
      </c>
      <c r="T63" s="492">
        <f t="shared" si="17"/>
        <v>0</v>
      </c>
      <c r="U63" s="458"/>
      <c r="V63" s="447"/>
    </row>
    <row r="64" spans="1:22" ht="72" thickBot="1" x14ac:dyDescent="0.25">
      <c r="A64" s="611"/>
      <c r="B64" s="615"/>
      <c r="C64" s="439" t="s">
        <v>69</v>
      </c>
      <c r="D64" s="440"/>
      <c r="E64" s="440"/>
      <c r="F64" s="461"/>
      <c r="G64" s="458"/>
      <c r="H64" s="447"/>
      <c r="I64" s="460">
        <v>0</v>
      </c>
      <c r="J64" s="461">
        <v>0</v>
      </c>
      <c r="K64" s="443">
        <f>Engineering688185[[#This Row],[Column7]]-Engineering688185[[#This Row],[Column8]]</f>
        <v>0</v>
      </c>
      <c r="L64" s="444">
        <f>IFERROR(J64/I64,0)</f>
        <v>0</v>
      </c>
      <c r="M64" s="462">
        <v>0</v>
      </c>
      <c r="N64" s="461">
        <v>0</v>
      </c>
      <c r="O64" s="443">
        <f>Engineering688185[[#This Row],[Column11]]-Engineering688185[[#This Row],[Column12]]</f>
        <v>0</v>
      </c>
      <c r="P64" s="444">
        <f>IFERROR(N64/M64,0)</f>
        <v>0</v>
      </c>
      <c r="Q64" s="463">
        <v>0</v>
      </c>
      <c r="R64" s="464">
        <v>0</v>
      </c>
      <c r="S64" s="446">
        <f>Engineering688185[[#This Row],[Column15]]-Engineering688185[[#This Row],[Column16]]</f>
        <v>0</v>
      </c>
      <c r="T64" s="492">
        <f t="shared" si="17"/>
        <v>0</v>
      </c>
      <c r="U64" s="458"/>
      <c r="V64" s="447"/>
    </row>
    <row r="65" spans="1:22" ht="72" thickBot="1" x14ac:dyDescent="0.25">
      <c r="A65" s="612"/>
      <c r="B65" s="616"/>
      <c r="C65" s="439" t="s">
        <v>69</v>
      </c>
      <c r="D65" s="440"/>
      <c r="E65" s="440"/>
      <c r="F65" s="461"/>
      <c r="G65" s="458"/>
      <c r="H65" s="447"/>
      <c r="I65" s="460">
        <v>0</v>
      </c>
      <c r="J65" s="461">
        <v>0</v>
      </c>
      <c r="K65" s="443">
        <f>Engineering688185[[#This Row],[Column7]]-Engineering688185[[#This Row],[Column8]]</f>
        <v>0</v>
      </c>
      <c r="L65" s="444">
        <f>IFERROR(J65/I65,0)</f>
        <v>0</v>
      </c>
      <c r="M65" s="462">
        <v>0</v>
      </c>
      <c r="N65" s="461">
        <v>0</v>
      </c>
      <c r="O65" s="443">
        <f>Engineering688185[[#This Row],[Column11]]-Engineering688185[[#This Row],[Column12]]</f>
        <v>0</v>
      </c>
      <c r="P65" s="444">
        <f>IFERROR(N65/M65,0)</f>
        <v>0</v>
      </c>
      <c r="Q65" s="463">
        <v>0</v>
      </c>
      <c r="R65" s="464">
        <v>0</v>
      </c>
      <c r="S65" s="446">
        <f>Engineering688185[[#This Row],[Column15]]-Engineering688185[[#This Row],[Column16]]</f>
        <v>0</v>
      </c>
      <c r="T65" s="492">
        <f t="shared" si="17"/>
        <v>0</v>
      </c>
      <c r="U65" s="458"/>
      <c r="V65" s="447"/>
    </row>
    <row r="66" spans="1:22" s="1" customFormat="1" ht="22" thickTop="1" thickBot="1" x14ac:dyDescent="0.25">
      <c r="A66" s="420"/>
      <c r="B66" s="411" t="s">
        <v>70</v>
      </c>
      <c r="C66" s="412"/>
      <c r="D66" s="413"/>
      <c r="E66" s="413"/>
      <c r="F66" s="413"/>
      <c r="G66" s="413"/>
      <c r="H66" s="413"/>
      <c r="I66" s="414">
        <f>SUBTOTAL(109,Engineering688185[Column7])</f>
        <v>0</v>
      </c>
      <c r="J66" s="413">
        <f>SUBTOTAL(109,Engineering688185[Column8])</f>
        <v>0</v>
      </c>
      <c r="K66" s="413">
        <f>SUBTOTAL(109,Engineering688185[Column9])</f>
        <v>0</v>
      </c>
      <c r="L66" s="415">
        <f>IFERROR(J66/I66,0)</f>
        <v>0</v>
      </c>
      <c r="M66" s="414">
        <f>SUBTOTAL(109,Engineering688185[Column11])</f>
        <v>0</v>
      </c>
      <c r="N66" s="413">
        <f>SUBTOTAL(109,Engineering688185[Column12])</f>
        <v>0</v>
      </c>
      <c r="O66" s="413">
        <f>SUBTOTAL(109,Engineering688185[Column13])</f>
        <v>0</v>
      </c>
      <c r="P66" s="415">
        <f>IFERROR(N66/M66,0)</f>
        <v>0</v>
      </c>
      <c r="Q66" s="416">
        <f>SUBTOTAL(109,Engineering688185[Column15])</f>
        <v>0</v>
      </c>
      <c r="R66" s="417">
        <f>SUBTOTAL(109,Engineering688185[Column16])</f>
        <v>0</v>
      </c>
      <c r="S66" s="418">
        <f>SUBTOTAL(109,Engineering688185[Column17])</f>
        <v>0</v>
      </c>
      <c r="T66" s="490">
        <f t="shared" si="17"/>
        <v>0</v>
      </c>
      <c r="U66" s="493"/>
      <c r="V66" s="493"/>
    </row>
    <row r="67" spans="1:22" ht="18" thickBot="1" x14ac:dyDescent="0.25">
      <c r="V67" s="2"/>
    </row>
    <row r="68" spans="1:22" ht="72" thickBot="1" x14ac:dyDescent="0.25">
      <c r="A68" s="610">
        <v>9</v>
      </c>
      <c r="B68" s="614" t="s">
        <v>20</v>
      </c>
      <c r="C68" s="439" t="s">
        <v>69</v>
      </c>
      <c r="D68" s="440"/>
      <c r="E68" s="440"/>
      <c r="F68" s="440"/>
      <c r="G68" s="452"/>
      <c r="H68" s="453"/>
      <c r="I68" s="460">
        <v>0</v>
      </c>
      <c r="J68" s="461">
        <v>0</v>
      </c>
      <c r="K68" s="443">
        <f>Engineering688186[[#This Row],[Column7]]-Engineering688186[[#This Row],[Column8]]</f>
        <v>0</v>
      </c>
      <c r="L68" s="444">
        <f>IFERROR(J68/I68,0)</f>
        <v>0</v>
      </c>
      <c r="M68" s="462">
        <v>0</v>
      </c>
      <c r="N68" s="461">
        <v>0</v>
      </c>
      <c r="O68" s="443">
        <f>Engineering688186[[#This Row],[Column11]]-Engineering688186[[#This Row],[Column12]]</f>
        <v>0</v>
      </c>
      <c r="P68" s="444">
        <f>IFERROR(N68/M68,0)</f>
        <v>0</v>
      </c>
      <c r="Q68" s="463">
        <v>0</v>
      </c>
      <c r="R68" s="464">
        <v>0</v>
      </c>
      <c r="S68" s="446">
        <f>Engineering688186[[#This Row],[Column15]]-Engineering688186[[#This Row],[Column16]]</f>
        <v>0</v>
      </c>
      <c r="T68" s="444">
        <f t="shared" ref="T68:T73" si="18">IFERROR(R68/Q68,0)</f>
        <v>0</v>
      </c>
      <c r="U68" s="458"/>
      <c r="V68" s="447"/>
    </row>
    <row r="69" spans="1:22" ht="72" thickBot="1" x14ac:dyDescent="0.25">
      <c r="A69" s="611"/>
      <c r="B69" s="615"/>
      <c r="C69" s="439" t="s">
        <v>69</v>
      </c>
      <c r="D69" s="440"/>
      <c r="E69" s="440"/>
      <c r="F69" s="440"/>
      <c r="G69" s="458"/>
      <c r="H69" s="447"/>
      <c r="I69" s="460">
        <v>0</v>
      </c>
      <c r="J69" s="461">
        <v>0</v>
      </c>
      <c r="K69" s="443">
        <f>Engineering688186[[#This Row],[Column7]]-Engineering688186[[#This Row],[Column8]]</f>
        <v>0</v>
      </c>
      <c r="L69" s="444">
        <f>IFERROR(J71/I71,0)</f>
        <v>0</v>
      </c>
      <c r="M69" s="462">
        <v>0</v>
      </c>
      <c r="N69" s="461">
        <v>0</v>
      </c>
      <c r="O69" s="443">
        <f>Engineering688186[[#This Row],[Column11]]-Engineering688186[[#This Row],[Column12]]</f>
        <v>0</v>
      </c>
      <c r="P69" s="444">
        <f>IFERROR(N71/M71,0)</f>
        <v>0</v>
      </c>
      <c r="Q69" s="463">
        <v>0</v>
      </c>
      <c r="R69" s="464">
        <v>0</v>
      </c>
      <c r="S69" s="446">
        <f>Engineering688186[[#This Row],[Column15]]-Engineering688186[[#This Row],[Column16]]</f>
        <v>0</v>
      </c>
      <c r="T69" s="444">
        <f t="shared" si="18"/>
        <v>0</v>
      </c>
      <c r="U69" s="458"/>
      <c r="V69" s="447"/>
    </row>
    <row r="70" spans="1:22" ht="72" thickBot="1" x14ac:dyDescent="0.25">
      <c r="A70" s="611"/>
      <c r="B70" s="615"/>
      <c r="C70" s="439" t="s">
        <v>69</v>
      </c>
      <c r="D70" s="440"/>
      <c r="E70" s="440"/>
      <c r="F70" s="440"/>
      <c r="G70" s="458"/>
      <c r="H70" s="447"/>
      <c r="I70" s="460">
        <v>0</v>
      </c>
      <c r="J70" s="461">
        <v>0</v>
      </c>
      <c r="K70" s="443">
        <f>Engineering688186[[#This Row],[Column7]]-Engineering688186[[#This Row],[Column8]]</f>
        <v>0</v>
      </c>
      <c r="L70" s="444">
        <f>IFERROR(J70/I70,0)</f>
        <v>0</v>
      </c>
      <c r="M70" s="462">
        <v>0</v>
      </c>
      <c r="N70" s="461">
        <v>0</v>
      </c>
      <c r="O70" s="443">
        <f>Engineering688186[[#This Row],[Column11]]-Engineering688186[[#This Row],[Column12]]</f>
        <v>0</v>
      </c>
      <c r="P70" s="444">
        <f>IFERROR(N70/M70,0)</f>
        <v>0</v>
      </c>
      <c r="Q70" s="463">
        <v>0</v>
      </c>
      <c r="R70" s="464">
        <v>0</v>
      </c>
      <c r="S70" s="446">
        <f>Engineering688186[[#This Row],[Column15]]-Engineering688186[[#This Row],[Column16]]</f>
        <v>0</v>
      </c>
      <c r="T70" s="444">
        <f t="shared" si="18"/>
        <v>0</v>
      </c>
      <c r="U70" s="458"/>
      <c r="V70" s="447"/>
    </row>
    <row r="71" spans="1:22" ht="72" thickBot="1" x14ac:dyDescent="0.25">
      <c r="A71" s="611"/>
      <c r="B71" s="615"/>
      <c r="C71" s="439" t="s">
        <v>69</v>
      </c>
      <c r="D71" s="440"/>
      <c r="E71" s="440"/>
      <c r="F71" s="440"/>
      <c r="G71" s="458"/>
      <c r="H71" s="447"/>
      <c r="I71" s="460">
        <v>0</v>
      </c>
      <c r="J71" s="461">
        <v>0</v>
      </c>
      <c r="K71" s="443">
        <f>Engineering688186[[#This Row],[Column7]]-Engineering688186[[#This Row],[Column8]]</f>
        <v>0</v>
      </c>
      <c r="L71" s="444">
        <f>IFERROR(J71/I71,0)</f>
        <v>0</v>
      </c>
      <c r="M71" s="462">
        <v>0</v>
      </c>
      <c r="N71" s="461">
        <v>0</v>
      </c>
      <c r="O71" s="443">
        <f>Engineering688186[[#This Row],[Column11]]-Engineering688186[[#This Row],[Column12]]</f>
        <v>0</v>
      </c>
      <c r="P71" s="444">
        <f>IFERROR(N71/M71,0)</f>
        <v>0</v>
      </c>
      <c r="Q71" s="463">
        <v>0</v>
      </c>
      <c r="R71" s="464">
        <v>0</v>
      </c>
      <c r="S71" s="446">
        <f>Engineering688186[[#This Row],[Column15]]-Engineering688186[[#This Row],[Column16]]</f>
        <v>0</v>
      </c>
      <c r="T71" s="444">
        <f t="shared" si="18"/>
        <v>0</v>
      </c>
      <c r="U71" s="458"/>
      <c r="V71" s="447"/>
    </row>
    <row r="72" spans="1:22" ht="72" thickBot="1" x14ac:dyDescent="0.25">
      <c r="A72" s="612"/>
      <c r="B72" s="616"/>
      <c r="C72" s="439" t="s">
        <v>69</v>
      </c>
      <c r="D72" s="440"/>
      <c r="E72" s="440"/>
      <c r="F72" s="440"/>
      <c r="G72" s="458"/>
      <c r="H72" s="447"/>
      <c r="I72" s="460">
        <v>0</v>
      </c>
      <c r="J72" s="461">
        <v>0</v>
      </c>
      <c r="K72" s="443">
        <f>Engineering688186[[#This Row],[Column7]]-Engineering688186[[#This Row],[Column8]]</f>
        <v>0</v>
      </c>
      <c r="L72" s="444">
        <f>IFERROR(J72/I72,0)</f>
        <v>0</v>
      </c>
      <c r="M72" s="462">
        <v>0</v>
      </c>
      <c r="N72" s="461">
        <v>0</v>
      </c>
      <c r="O72" s="443">
        <f>Engineering688186[[#This Row],[Column11]]-Engineering688186[[#This Row],[Column12]]</f>
        <v>0</v>
      </c>
      <c r="P72" s="444">
        <f>IFERROR(N72/M72,0)</f>
        <v>0</v>
      </c>
      <c r="Q72" s="463">
        <v>0</v>
      </c>
      <c r="R72" s="464">
        <v>0</v>
      </c>
      <c r="S72" s="446">
        <f>Engineering688186[[#This Row],[Column15]]-Engineering688186[[#This Row],[Column16]]</f>
        <v>0</v>
      </c>
      <c r="T72" s="444">
        <f t="shared" si="18"/>
        <v>0</v>
      </c>
      <c r="U72" s="447"/>
      <c r="V72" s="447"/>
    </row>
    <row r="73" spans="1:22" s="1" customFormat="1" ht="22" thickTop="1" thickBot="1" x14ac:dyDescent="0.25">
      <c r="A73" s="420"/>
      <c r="B73" s="411" t="s">
        <v>70</v>
      </c>
      <c r="C73" s="412"/>
      <c r="D73" s="413"/>
      <c r="E73" s="413"/>
      <c r="F73" s="413"/>
      <c r="G73" s="413"/>
      <c r="H73" s="413"/>
      <c r="I73" s="414">
        <f>SUBTOTAL(109,Engineering688186[Column7])</f>
        <v>0</v>
      </c>
      <c r="J73" s="413">
        <f>SUBTOTAL(109,Engineering688186[Column8])</f>
        <v>0</v>
      </c>
      <c r="K73" s="413">
        <f>SUBTOTAL(109,Engineering688186[Column9])</f>
        <v>0</v>
      </c>
      <c r="L73" s="415">
        <f>IFERROR(J73/I73,0)</f>
        <v>0</v>
      </c>
      <c r="M73" s="414">
        <f>SUBTOTAL(109,Engineering688186[Column11])</f>
        <v>0</v>
      </c>
      <c r="N73" s="413">
        <f>SUBTOTAL(109,Engineering688186[Column12])</f>
        <v>0</v>
      </c>
      <c r="O73" s="413">
        <f>SUBTOTAL(109,Engineering688186[Column13])</f>
        <v>0</v>
      </c>
      <c r="P73" s="415">
        <f>IFERROR(N73/M73,0)</f>
        <v>0</v>
      </c>
      <c r="Q73" s="416">
        <f>SUBTOTAL(109,Engineering688186[Column15])</f>
        <v>0</v>
      </c>
      <c r="R73" s="417">
        <f>SUBTOTAL(109,Engineering688186[Column16])</f>
        <v>0</v>
      </c>
      <c r="S73" s="418">
        <f>SUBTOTAL(109,Engineering688186[Column17])</f>
        <v>0</v>
      </c>
      <c r="T73" s="422">
        <f t="shared" si="18"/>
        <v>0</v>
      </c>
      <c r="U73" s="413"/>
      <c r="V73" s="413"/>
    </row>
    <row r="74" spans="1:22" ht="18" thickBot="1" x14ac:dyDescent="0.25">
      <c r="V74" s="2"/>
    </row>
    <row r="75" spans="1:22" ht="72" thickBot="1" x14ac:dyDescent="0.25">
      <c r="A75" s="610">
        <v>10</v>
      </c>
      <c r="B75" s="614" t="s">
        <v>22</v>
      </c>
      <c r="C75" s="439" t="s">
        <v>69</v>
      </c>
      <c r="D75" s="440"/>
      <c r="E75" s="440"/>
      <c r="F75" s="440"/>
      <c r="G75" s="452"/>
      <c r="H75" s="453"/>
      <c r="I75" s="460">
        <v>0</v>
      </c>
      <c r="J75" s="461">
        <v>0</v>
      </c>
      <c r="K75" s="443">
        <f>Engineering688187[[#This Row],[Column7]]-Engineering688187[[#This Row],[Column8]]</f>
        <v>0</v>
      </c>
      <c r="L75" s="444">
        <f>IFERROR(J75/I75,0)</f>
        <v>0</v>
      </c>
      <c r="M75" s="462">
        <v>0</v>
      </c>
      <c r="N75" s="461">
        <v>0</v>
      </c>
      <c r="O75" s="443">
        <f>Engineering688187[[#This Row],[Column11]]-Engineering688187[[#This Row],[Column12]]</f>
        <v>0</v>
      </c>
      <c r="P75" s="444">
        <f>IFERROR(N75/M75,0)</f>
        <v>0</v>
      </c>
      <c r="Q75" s="463">
        <v>0</v>
      </c>
      <c r="R75" s="464">
        <v>0</v>
      </c>
      <c r="S75" s="446">
        <f>Engineering688187[[#This Row],[Column15]]-Engineering688187[[#This Row],[Column16]]</f>
        <v>0</v>
      </c>
      <c r="T75" s="444">
        <f t="shared" ref="T75:T80" si="19">IFERROR(R75/Q75,0)</f>
        <v>0</v>
      </c>
      <c r="U75" s="458"/>
      <c r="V75" s="447"/>
    </row>
    <row r="76" spans="1:22" ht="72" thickBot="1" x14ac:dyDescent="0.25">
      <c r="A76" s="611"/>
      <c r="B76" s="615"/>
      <c r="C76" s="439" t="s">
        <v>69</v>
      </c>
      <c r="D76" s="440"/>
      <c r="E76" s="440"/>
      <c r="F76" s="440"/>
      <c r="G76" s="458"/>
      <c r="H76" s="447"/>
      <c r="I76" s="460">
        <v>0</v>
      </c>
      <c r="J76" s="461">
        <v>0</v>
      </c>
      <c r="K76" s="472">
        <f>Engineering688187[[#This Row],[Column7]]-Engineering688187[[#This Row],[Column8]]</f>
        <v>0</v>
      </c>
      <c r="L76" s="473">
        <f>IFERROR(J78/I78,0)</f>
        <v>0</v>
      </c>
      <c r="M76" s="462">
        <v>0</v>
      </c>
      <c r="N76" s="461">
        <v>0</v>
      </c>
      <c r="O76" s="443">
        <f>Engineering688187[[#This Row],[Column11]]-Engineering688187[[#This Row],[Column12]]</f>
        <v>0</v>
      </c>
      <c r="P76" s="444">
        <f>IFERROR(N78/M78,0)</f>
        <v>0</v>
      </c>
      <c r="Q76" s="463">
        <v>0</v>
      </c>
      <c r="R76" s="464">
        <v>0</v>
      </c>
      <c r="S76" s="446">
        <f>Engineering688187[[#This Row],[Column15]]-Engineering688187[[#This Row],[Column16]]</f>
        <v>0</v>
      </c>
      <c r="T76" s="444">
        <f t="shared" si="19"/>
        <v>0</v>
      </c>
      <c r="U76" s="458"/>
      <c r="V76" s="447"/>
    </row>
    <row r="77" spans="1:22" ht="72" thickBot="1" x14ac:dyDescent="0.25">
      <c r="A77" s="611"/>
      <c r="B77" s="615"/>
      <c r="C77" s="439" t="s">
        <v>69</v>
      </c>
      <c r="D77" s="440"/>
      <c r="E77" s="440"/>
      <c r="F77" s="440"/>
      <c r="G77" s="458"/>
      <c r="H77" s="447"/>
      <c r="I77" s="460">
        <v>0</v>
      </c>
      <c r="J77" s="461">
        <v>0</v>
      </c>
      <c r="K77" s="443">
        <f>Engineering688187[[#This Row],[Column7]]-Engineering688187[[#This Row],[Column8]]</f>
        <v>0</v>
      </c>
      <c r="L77" s="444">
        <f>IFERROR(J77/I77,0)</f>
        <v>0</v>
      </c>
      <c r="M77" s="462">
        <v>0</v>
      </c>
      <c r="N77" s="461">
        <v>0</v>
      </c>
      <c r="O77" s="443">
        <f>Engineering688187[[#This Row],[Column11]]-Engineering688187[[#This Row],[Column12]]</f>
        <v>0</v>
      </c>
      <c r="P77" s="444">
        <f>IFERROR(N77/M77,0)</f>
        <v>0</v>
      </c>
      <c r="Q77" s="463">
        <v>0</v>
      </c>
      <c r="R77" s="464">
        <v>0</v>
      </c>
      <c r="S77" s="446">
        <f>Engineering688187[[#This Row],[Column15]]-Engineering688187[[#This Row],[Column16]]</f>
        <v>0</v>
      </c>
      <c r="T77" s="444">
        <f t="shared" si="19"/>
        <v>0</v>
      </c>
      <c r="U77" s="458"/>
      <c r="V77" s="447"/>
    </row>
    <row r="78" spans="1:22" ht="72" thickBot="1" x14ac:dyDescent="0.25">
      <c r="A78" s="611"/>
      <c r="B78" s="615"/>
      <c r="C78" s="439" t="s">
        <v>69</v>
      </c>
      <c r="D78" s="440"/>
      <c r="E78" s="440"/>
      <c r="F78" s="440"/>
      <c r="G78" s="458"/>
      <c r="H78" s="447"/>
      <c r="I78" s="460">
        <v>0</v>
      </c>
      <c r="J78" s="461">
        <v>0</v>
      </c>
      <c r="K78" s="443">
        <f>Engineering688187[[#This Row],[Column7]]-Engineering688187[[#This Row],[Column8]]</f>
        <v>0</v>
      </c>
      <c r="L78" s="444">
        <f>IFERROR(J78/I78,0)</f>
        <v>0</v>
      </c>
      <c r="M78" s="462">
        <v>0</v>
      </c>
      <c r="N78" s="461">
        <v>0</v>
      </c>
      <c r="O78" s="443">
        <f>Engineering688187[[#This Row],[Column11]]-Engineering688187[[#This Row],[Column12]]</f>
        <v>0</v>
      </c>
      <c r="P78" s="444">
        <f>IFERROR(N78/M78,0)</f>
        <v>0</v>
      </c>
      <c r="Q78" s="463">
        <v>0</v>
      </c>
      <c r="R78" s="464">
        <v>0</v>
      </c>
      <c r="S78" s="446">
        <f>Engineering688187[[#This Row],[Column15]]-Engineering688187[[#This Row],[Column16]]</f>
        <v>0</v>
      </c>
      <c r="T78" s="444">
        <f t="shared" si="19"/>
        <v>0</v>
      </c>
      <c r="U78" s="458"/>
      <c r="V78" s="447"/>
    </row>
    <row r="79" spans="1:22" ht="72" thickBot="1" x14ac:dyDescent="0.25">
      <c r="A79" s="612"/>
      <c r="B79" s="616"/>
      <c r="C79" s="439" t="s">
        <v>69</v>
      </c>
      <c r="D79" s="440"/>
      <c r="E79" s="440"/>
      <c r="F79" s="440"/>
      <c r="G79" s="458"/>
      <c r="H79" s="447"/>
      <c r="I79" s="460">
        <v>0</v>
      </c>
      <c r="J79" s="461">
        <v>0</v>
      </c>
      <c r="K79" s="443">
        <f>Engineering688187[[#This Row],[Column7]]-Engineering688187[[#This Row],[Column8]]</f>
        <v>0</v>
      </c>
      <c r="L79" s="444">
        <f>IFERROR(J79/I79,0)</f>
        <v>0</v>
      </c>
      <c r="M79" s="462">
        <v>0</v>
      </c>
      <c r="N79" s="461">
        <v>0</v>
      </c>
      <c r="O79" s="443">
        <f>Engineering688187[[#This Row],[Column11]]-Engineering688187[[#This Row],[Column12]]</f>
        <v>0</v>
      </c>
      <c r="P79" s="444">
        <f>IFERROR(N79/M79,0)</f>
        <v>0</v>
      </c>
      <c r="Q79" s="463">
        <v>0</v>
      </c>
      <c r="R79" s="464">
        <v>0</v>
      </c>
      <c r="S79" s="446">
        <f>Engineering688187[[#This Row],[Column15]]-Engineering688187[[#This Row],[Column16]]</f>
        <v>0</v>
      </c>
      <c r="T79" s="444">
        <f t="shared" si="19"/>
        <v>0</v>
      </c>
      <c r="U79" s="447"/>
      <c r="V79" s="447"/>
    </row>
    <row r="80" spans="1:22" s="1" customFormat="1" ht="22" thickTop="1" thickBot="1" x14ac:dyDescent="0.25">
      <c r="A80" s="420"/>
      <c r="B80" s="411" t="s">
        <v>70</v>
      </c>
      <c r="C80" s="412"/>
      <c r="D80" s="413"/>
      <c r="E80" s="413"/>
      <c r="F80" s="413"/>
      <c r="G80" s="413"/>
      <c r="H80" s="413"/>
      <c r="I80" s="414">
        <f>SUBTOTAL(109,Engineering688187[Column7])</f>
        <v>0</v>
      </c>
      <c r="J80" s="413">
        <f>SUBTOTAL(109,Engineering688187[Column8])</f>
        <v>0</v>
      </c>
      <c r="K80" s="413">
        <f>SUBTOTAL(109,Engineering688187[Column9])</f>
        <v>0</v>
      </c>
      <c r="L80" s="415">
        <f>IFERROR(J80/I80,0)</f>
        <v>0</v>
      </c>
      <c r="M80" s="414">
        <f>SUBTOTAL(109,Engineering688187[Column11])</f>
        <v>0</v>
      </c>
      <c r="N80" s="413">
        <f>SUBTOTAL(109,Engineering688187[Column12])</f>
        <v>0</v>
      </c>
      <c r="O80" s="413">
        <f>SUBTOTAL(109,Engineering688187[Column13])</f>
        <v>0</v>
      </c>
      <c r="P80" s="415">
        <f>IFERROR(N80/M80,0)</f>
        <v>0</v>
      </c>
      <c r="Q80" s="416">
        <f>SUBTOTAL(109,Engineering688187[Column15])</f>
        <v>0</v>
      </c>
      <c r="R80" s="417">
        <f>SUBTOTAL(109,Engineering688187[Column16])</f>
        <v>0</v>
      </c>
      <c r="S80" s="418">
        <f>SUBTOTAL(109,Engineering688187[Column17])</f>
        <v>0</v>
      </c>
      <c r="T80" s="422">
        <f t="shared" si="19"/>
        <v>0</v>
      </c>
      <c r="U80" s="413"/>
      <c r="V80" s="413"/>
    </row>
    <row r="81" spans="1:22" ht="18" thickBot="1" x14ac:dyDescent="0.25">
      <c r="V81" s="2"/>
    </row>
    <row r="82" spans="1:22" ht="72" thickBot="1" x14ac:dyDescent="0.25">
      <c r="A82" s="610">
        <v>11</v>
      </c>
      <c r="B82" s="614" t="s">
        <v>24</v>
      </c>
      <c r="C82" s="439" t="s">
        <v>69</v>
      </c>
      <c r="D82" s="440"/>
      <c r="E82" s="440"/>
      <c r="F82" s="440"/>
      <c r="G82" s="452"/>
      <c r="H82" s="453"/>
      <c r="I82" s="460">
        <v>0</v>
      </c>
      <c r="J82" s="461">
        <v>0</v>
      </c>
      <c r="K82" s="443">
        <f>Engineering688188[[#This Row],[Column7]]-Engineering688188[[#This Row],[Column8]]</f>
        <v>0</v>
      </c>
      <c r="L82" s="444">
        <f>IFERROR(J82/I82,0)</f>
        <v>0</v>
      </c>
      <c r="M82" s="462">
        <v>0</v>
      </c>
      <c r="N82" s="461">
        <v>0</v>
      </c>
      <c r="O82" s="443">
        <f>Engineering688188[[#This Row],[Column11]]-Engineering688188[[#This Row],[Column12]]</f>
        <v>0</v>
      </c>
      <c r="P82" s="444">
        <f>IFERROR(N82/M82,0)</f>
        <v>0</v>
      </c>
      <c r="Q82" s="463">
        <v>0</v>
      </c>
      <c r="R82" s="464">
        <v>0</v>
      </c>
      <c r="S82" s="446">
        <f>Engineering688188[[#This Row],[Column15]]-Engineering688188[[#This Row],[Column16]]</f>
        <v>0</v>
      </c>
      <c r="T82" s="444">
        <f t="shared" ref="T82:T87" si="20">IFERROR(R82/Q82,0)</f>
        <v>0</v>
      </c>
      <c r="U82" s="458"/>
      <c r="V82" s="447"/>
    </row>
    <row r="83" spans="1:22" ht="72" thickBot="1" x14ac:dyDescent="0.25">
      <c r="A83" s="611"/>
      <c r="B83" s="615"/>
      <c r="C83" s="439" t="s">
        <v>69</v>
      </c>
      <c r="D83" s="440"/>
      <c r="E83" s="440"/>
      <c r="F83" s="440"/>
      <c r="G83" s="458"/>
      <c r="H83" s="447"/>
      <c r="I83" s="460">
        <v>0</v>
      </c>
      <c r="J83" s="461">
        <v>0</v>
      </c>
      <c r="K83" s="472">
        <f>Engineering688188[[#This Row],[Column7]]-Engineering688188[[#This Row],[Column8]]</f>
        <v>0</v>
      </c>
      <c r="L83" s="473">
        <f>IFERROR(J85/I85,0)</f>
        <v>0</v>
      </c>
      <c r="M83" s="462">
        <v>0</v>
      </c>
      <c r="N83" s="461">
        <v>0</v>
      </c>
      <c r="O83" s="443">
        <f>Engineering688188[[#This Row],[Column11]]-Engineering688188[[#This Row],[Column12]]</f>
        <v>0</v>
      </c>
      <c r="P83" s="444">
        <f>IFERROR(N85/M85,0)</f>
        <v>0</v>
      </c>
      <c r="Q83" s="463">
        <v>0</v>
      </c>
      <c r="R83" s="464">
        <v>0</v>
      </c>
      <c r="S83" s="446">
        <f>Engineering688188[[#This Row],[Column15]]-Engineering688188[[#This Row],[Column16]]</f>
        <v>0</v>
      </c>
      <c r="T83" s="444">
        <f t="shared" si="20"/>
        <v>0</v>
      </c>
      <c r="U83" s="458"/>
      <c r="V83" s="447"/>
    </row>
    <row r="84" spans="1:22" ht="72" thickBot="1" x14ac:dyDescent="0.25">
      <c r="A84" s="611"/>
      <c r="B84" s="615"/>
      <c r="C84" s="439" t="s">
        <v>69</v>
      </c>
      <c r="D84" s="440"/>
      <c r="E84" s="440"/>
      <c r="F84" s="440"/>
      <c r="G84" s="458"/>
      <c r="H84" s="447"/>
      <c r="I84" s="460">
        <v>0</v>
      </c>
      <c r="J84" s="461">
        <v>0</v>
      </c>
      <c r="K84" s="443">
        <f>Engineering688188[[#This Row],[Column7]]-Engineering688188[[#This Row],[Column8]]</f>
        <v>0</v>
      </c>
      <c r="L84" s="444">
        <f>IFERROR(J84/I84,0)</f>
        <v>0</v>
      </c>
      <c r="M84" s="462">
        <v>0</v>
      </c>
      <c r="N84" s="461">
        <v>0</v>
      </c>
      <c r="O84" s="443">
        <f>Engineering688188[[#This Row],[Column11]]-Engineering688188[[#This Row],[Column12]]</f>
        <v>0</v>
      </c>
      <c r="P84" s="444">
        <f>IFERROR(N84/M84,0)</f>
        <v>0</v>
      </c>
      <c r="Q84" s="463">
        <v>0</v>
      </c>
      <c r="R84" s="464">
        <v>0</v>
      </c>
      <c r="S84" s="446">
        <f>Engineering688188[[#This Row],[Column15]]-Engineering688188[[#This Row],[Column16]]</f>
        <v>0</v>
      </c>
      <c r="T84" s="444">
        <f t="shared" si="20"/>
        <v>0</v>
      </c>
      <c r="U84" s="458"/>
      <c r="V84" s="447"/>
    </row>
    <row r="85" spans="1:22" ht="72" thickBot="1" x14ac:dyDescent="0.25">
      <c r="A85" s="611"/>
      <c r="B85" s="615"/>
      <c r="C85" s="439" t="s">
        <v>69</v>
      </c>
      <c r="D85" s="440"/>
      <c r="E85" s="440"/>
      <c r="F85" s="440"/>
      <c r="G85" s="458"/>
      <c r="H85" s="447"/>
      <c r="I85" s="460">
        <v>0</v>
      </c>
      <c r="J85" s="461">
        <v>0</v>
      </c>
      <c r="K85" s="443">
        <f>Engineering688188[[#This Row],[Column7]]-Engineering688188[[#This Row],[Column8]]</f>
        <v>0</v>
      </c>
      <c r="L85" s="444">
        <f>IFERROR(J85/I85,0)</f>
        <v>0</v>
      </c>
      <c r="M85" s="462">
        <v>0</v>
      </c>
      <c r="N85" s="461">
        <v>0</v>
      </c>
      <c r="O85" s="443">
        <f>Engineering688188[[#This Row],[Column11]]-Engineering688188[[#This Row],[Column12]]</f>
        <v>0</v>
      </c>
      <c r="P85" s="444">
        <f>IFERROR(N85/M85,0)</f>
        <v>0</v>
      </c>
      <c r="Q85" s="463">
        <v>0</v>
      </c>
      <c r="R85" s="464">
        <v>0</v>
      </c>
      <c r="S85" s="446">
        <f>Engineering688188[[#This Row],[Column15]]-Engineering688188[[#This Row],[Column16]]</f>
        <v>0</v>
      </c>
      <c r="T85" s="444">
        <f t="shared" si="20"/>
        <v>0</v>
      </c>
      <c r="U85" s="458"/>
      <c r="V85" s="447"/>
    </row>
    <row r="86" spans="1:22" ht="72" thickBot="1" x14ac:dyDescent="0.25">
      <c r="A86" s="612"/>
      <c r="B86" s="616"/>
      <c r="C86" s="439" t="s">
        <v>69</v>
      </c>
      <c r="D86" s="440"/>
      <c r="E86" s="440"/>
      <c r="F86" s="440"/>
      <c r="G86" s="458"/>
      <c r="H86" s="447"/>
      <c r="I86" s="460">
        <v>0</v>
      </c>
      <c r="J86" s="461">
        <v>0</v>
      </c>
      <c r="K86" s="443">
        <f>Engineering688188[[#This Row],[Column7]]-Engineering688188[[#This Row],[Column8]]</f>
        <v>0</v>
      </c>
      <c r="L86" s="444">
        <f>IFERROR(J86/I86,0)</f>
        <v>0</v>
      </c>
      <c r="M86" s="462">
        <v>0</v>
      </c>
      <c r="N86" s="461">
        <v>0</v>
      </c>
      <c r="O86" s="443">
        <f>Engineering688188[[#This Row],[Column11]]-Engineering688188[[#This Row],[Column12]]</f>
        <v>0</v>
      </c>
      <c r="P86" s="444">
        <f>IFERROR(N86/M86,0)</f>
        <v>0</v>
      </c>
      <c r="Q86" s="463">
        <v>0</v>
      </c>
      <c r="R86" s="464">
        <v>0</v>
      </c>
      <c r="S86" s="446">
        <f>Engineering688188[[#This Row],[Column15]]-Engineering688188[[#This Row],[Column16]]</f>
        <v>0</v>
      </c>
      <c r="T86" s="444">
        <f t="shared" si="20"/>
        <v>0</v>
      </c>
      <c r="U86" s="447"/>
      <c r="V86" s="447"/>
    </row>
    <row r="87" spans="1:22" s="1" customFormat="1" ht="22" thickTop="1" thickBot="1" x14ac:dyDescent="0.25">
      <c r="A87" s="420"/>
      <c r="B87" s="411" t="s">
        <v>70</v>
      </c>
      <c r="C87" s="412"/>
      <c r="D87" s="413"/>
      <c r="E87" s="413"/>
      <c r="F87" s="413"/>
      <c r="G87" s="413"/>
      <c r="H87" s="413"/>
      <c r="I87" s="414">
        <f>SUBTOTAL(109,Engineering688188[Column7])</f>
        <v>0</v>
      </c>
      <c r="J87" s="413">
        <f>SUBTOTAL(109,Engineering688188[Column8])</f>
        <v>0</v>
      </c>
      <c r="K87" s="413">
        <f>SUBTOTAL(109,Engineering688188[Column9])</f>
        <v>0</v>
      </c>
      <c r="L87" s="415">
        <f>IFERROR(J87/I87,0)</f>
        <v>0</v>
      </c>
      <c r="M87" s="414">
        <f>SUBTOTAL(109,Engineering688188[Column11])</f>
        <v>0</v>
      </c>
      <c r="N87" s="413">
        <f>SUBTOTAL(109,Engineering688188[Column12])</f>
        <v>0</v>
      </c>
      <c r="O87" s="413">
        <f>SUBTOTAL(109,Engineering688188[Column13])</f>
        <v>0</v>
      </c>
      <c r="P87" s="415">
        <f>IFERROR(N87/M87,0)</f>
        <v>0</v>
      </c>
      <c r="Q87" s="416">
        <f>SUBTOTAL(109,Engineering688188[Column15])</f>
        <v>0</v>
      </c>
      <c r="R87" s="417">
        <f>SUBTOTAL(109,Engineering688188[Column16])</f>
        <v>0</v>
      </c>
      <c r="S87" s="418">
        <f>SUBTOTAL(109,Engineering688188[Column17])</f>
        <v>0</v>
      </c>
      <c r="T87" s="422">
        <f t="shared" si="20"/>
        <v>0</v>
      </c>
      <c r="U87" s="413"/>
      <c r="V87" s="413"/>
    </row>
    <row r="88" spans="1:22" ht="18" thickBot="1" x14ac:dyDescent="0.25">
      <c r="V88" s="2"/>
    </row>
    <row r="89" spans="1:22" ht="72" thickBot="1" x14ac:dyDescent="0.25">
      <c r="A89" s="610">
        <v>12</v>
      </c>
      <c r="B89" s="614" t="s">
        <v>26</v>
      </c>
      <c r="C89" s="439" t="s">
        <v>69</v>
      </c>
      <c r="D89" s="440"/>
      <c r="E89" s="440"/>
      <c r="F89" s="440"/>
      <c r="G89" s="452"/>
      <c r="H89" s="453"/>
      <c r="I89" s="460">
        <v>0</v>
      </c>
      <c r="J89" s="461">
        <v>0</v>
      </c>
      <c r="K89" s="443">
        <f>Engineering68818889[[#This Row],[Column7]]-Engineering68818889[[#This Row],[Column8]]</f>
        <v>0</v>
      </c>
      <c r="L89" s="444">
        <f>IFERROR(J89/I89,0)</f>
        <v>0</v>
      </c>
      <c r="M89" s="462">
        <v>0</v>
      </c>
      <c r="N89" s="461">
        <v>0</v>
      </c>
      <c r="O89" s="443">
        <f>Engineering68818889[[#This Row],[Column11]]-Engineering68818889[[#This Row],[Column12]]</f>
        <v>0</v>
      </c>
      <c r="P89" s="444">
        <f>IFERROR(N89/M89,0)</f>
        <v>0</v>
      </c>
      <c r="Q89" s="463">
        <v>0</v>
      </c>
      <c r="R89" s="464">
        <v>0</v>
      </c>
      <c r="S89" s="446">
        <f>Engineering68818889[[#This Row],[Column15]]-Engineering68818889[[#This Row],[Column16]]</f>
        <v>0</v>
      </c>
      <c r="T89" s="444">
        <f t="shared" ref="T89:T94" si="21">IFERROR(R89/Q89,0)</f>
        <v>0</v>
      </c>
      <c r="U89" s="458"/>
      <c r="V89" s="447"/>
    </row>
    <row r="90" spans="1:22" ht="72" thickBot="1" x14ac:dyDescent="0.25">
      <c r="A90" s="611"/>
      <c r="B90" s="615"/>
      <c r="C90" s="439" t="s">
        <v>69</v>
      </c>
      <c r="D90" s="440"/>
      <c r="E90" s="440"/>
      <c r="F90" s="440"/>
      <c r="G90" s="458"/>
      <c r="H90" s="447"/>
      <c r="I90" s="460">
        <v>0</v>
      </c>
      <c r="J90" s="461">
        <v>0</v>
      </c>
      <c r="K90" s="443">
        <f>Engineering68818889[[#This Row],[Column7]]-Engineering68818889[[#This Row],[Column8]]</f>
        <v>0</v>
      </c>
      <c r="L90" s="444">
        <f>IFERROR(J92/I92,0)</f>
        <v>0</v>
      </c>
      <c r="M90" s="462">
        <v>0</v>
      </c>
      <c r="N90" s="461">
        <v>0</v>
      </c>
      <c r="O90" s="443">
        <f>Engineering68818889[[#This Row],[Column11]]-Engineering68818889[[#This Row],[Column12]]</f>
        <v>0</v>
      </c>
      <c r="P90" s="444">
        <f>IFERROR(N92/M92,0)</f>
        <v>0</v>
      </c>
      <c r="Q90" s="463">
        <v>0</v>
      </c>
      <c r="R90" s="464">
        <v>0</v>
      </c>
      <c r="S90" s="446">
        <f>Engineering68818889[[#This Row],[Column15]]-Engineering68818889[[#This Row],[Column16]]</f>
        <v>0</v>
      </c>
      <c r="T90" s="444">
        <f t="shared" si="21"/>
        <v>0</v>
      </c>
      <c r="U90" s="458"/>
      <c r="V90" s="447"/>
    </row>
    <row r="91" spans="1:22" ht="72" thickBot="1" x14ac:dyDescent="0.25">
      <c r="A91" s="611"/>
      <c r="B91" s="615"/>
      <c r="C91" s="439" t="s">
        <v>69</v>
      </c>
      <c r="D91" s="440"/>
      <c r="E91" s="440"/>
      <c r="F91" s="440"/>
      <c r="G91" s="458"/>
      <c r="H91" s="447"/>
      <c r="I91" s="460">
        <v>0</v>
      </c>
      <c r="J91" s="461">
        <v>0</v>
      </c>
      <c r="K91" s="443">
        <f>Engineering68818889[[#This Row],[Column7]]-Engineering68818889[[#This Row],[Column8]]</f>
        <v>0</v>
      </c>
      <c r="L91" s="444">
        <f>IFERROR(J91/I91,0)</f>
        <v>0</v>
      </c>
      <c r="M91" s="462">
        <v>0</v>
      </c>
      <c r="N91" s="461">
        <v>0</v>
      </c>
      <c r="O91" s="443">
        <f>Engineering68818889[[#This Row],[Column11]]-Engineering68818889[[#This Row],[Column12]]</f>
        <v>0</v>
      </c>
      <c r="P91" s="444">
        <f>IFERROR(N91/M91,0)</f>
        <v>0</v>
      </c>
      <c r="Q91" s="463">
        <v>0</v>
      </c>
      <c r="R91" s="464">
        <v>0</v>
      </c>
      <c r="S91" s="446">
        <f>Engineering68818889[[#This Row],[Column15]]-Engineering68818889[[#This Row],[Column16]]</f>
        <v>0</v>
      </c>
      <c r="T91" s="444">
        <f t="shared" si="21"/>
        <v>0</v>
      </c>
      <c r="U91" s="458"/>
      <c r="V91" s="447"/>
    </row>
    <row r="92" spans="1:22" ht="72" thickBot="1" x14ac:dyDescent="0.25">
      <c r="A92" s="611"/>
      <c r="B92" s="615"/>
      <c r="C92" s="439" t="s">
        <v>69</v>
      </c>
      <c r="D92" s="440"/>
      <c r="E92" s="440"/>
      <c r="F92" s="440"/>
      <c r="G92" s="458"/>
      <c r="H92" s="447"/>
      <c r="I92" s="460">
        <v>0</v>
      </c>
      <c r="J92" s="461">
        <v>0</v>
      </c>
      <c r="K92" s="443">
        <f>Engineering68818889[[#This Row],[Column7]]-Engineering68818889[[#This Row],[Column8]]</f>
        <v>0</v>
      </c>
      <c r="L92" s="444">
        <f>IFERROR(J92/I92,0)</f>
        <v>0</v>
      </c>
      <c r="M92" s="462">
        <v>0</v>
      </c>
      <c r="N92" s="461">
        <v>0</v>
      </c>
      <c r="O92" s="443">
        <f>Engineering68818889[[#This Row],[Column11]]-Engineering68818889[[#This Row],[Column12]]</f>
        <v>0</v>
      </c>
      <c r="P92" s="444">
        <f>IFERROR(N92/M92,0)</f>
        <v>0</v>
      </c>
      <c r="Q92" s="463">
        <v>0</v>
      </c>
      <c r="R92" s="464">
        <v>0</v>
      </c>
      <c r="S92" s="446">
        <f>Engineering68818889[[#This Row],[Column15]]-Engineering68818889[[#This Row],[Column16]]</f>
        <v>0</v>
      </c>
      <c r="T92" s="444">
        <f t="shared" si="21"/>
        <v>0</v>
      </c>
      <c r="U92" s="458"/>
      <c r="V92" s="447"/>
    </row>
    <row r="93" spans="1:22" ht="72" thickBot="1" x14ac:dyDescent="0.25">
      <c r="A93" s="612"/>
      <c r="B93" s="616"/>
      <c r="C93" s="439" t="s">
        <v>69</v>
      </c>
      <c r="D93" s="440"/>
      <c r="E93" s="440"/>
      <c r="F93" s="440"/>
      <c r="G93" s="458"/>
      <c r="H93" s="447"/>
      <c r="I93" s="460">
        <v>0</v>
      </c>
      <c r="J93" s="461">
        <v>0</v>
      </c>
      <c r="K93" s="443">
        <f>Engineering68818889[[#This Row],[Column7]]-Engineering68818889[[#This Row],[Column8]]</f>
        <v>0</v>
      </c>
      <c r="L93" s="444">
        <f>IFERROR(J93/I93,0)</f>
        <v>0</v>
      </c>
      <c r="M93" s="462">
        <v>0</v>
      </c>
      <c r="N93" s="461">
        <v>0</v>
      </c>
      <c r="O93" s="443">
        <f>Engineering68818889[[#This Row],[Column11]]-Engineering68818889[[#This Row],[Column12]]</f>
        <v>0</v>
      </c>
      <c r="P93" s="444">
        <f>IFERROR(N93/M93,0)</f>
        <v>0</v>
      </c>
      <c r="Q93" s="463">
        <v>0</v>
      </c>
      <c r="R93" s="464">
        <v>0</v>
      </c>
      <c r="S93" s="446">
        <f>Engineering68818889[[#This Row],[Column15]]-Engineering68818889[[#This Row],[Column16]]</f>
        <v>0</v>
      </c>
      <c r="T93" s="444">
        <f t="shared" si="21"/>
        <v>0</v>
      </c>
      <c r="U93" s="447"/>
      <c r="V93" s="447"/>
    </row>
    <row r="94" spans="1:22" s="1" customFormat="1" ht="22" thickTop="1" thickBot="1" x14ac:dyDescent="0.25">
      <c r="A94" s="420"/>
      <c r="B94" s="411" t="s">
        <v>70</v>
      </c>
      <c r="C94" s="412"/>
      <c r="D94" s="413"/>
      <c r="E94" s="413"/>
      <c r="F94" s="413"/>
      <c r="G94" s="413"/>
      <c r="H94" s="413"/>
      <c r="I94" s="414">
        <f>SUBTOTAL(109,Engineering68818889[Column7])</f>
        <v>0</v>
      </c>
      <c r="J94" s="413">
        <f>SUBTOTAL(109,Engineering68818889[Column8])</f>
        <v>0</v>
      </c>
      <c r="K94" s="413">
        <f>SUBTOTAL(109,Engineering68818889[Column9])</f>
        <v>0</v>
      </c>
      <c r="L94" s="415">
        <f>IFERROR(J94/I94,0)</f>
        <v>0</v>
      </c>
      <c r="M94" s="414">
        <f>SUBTOTAL(109,Engineering68818889[Column11])</f>
        <v>0</v>
      </c>
      <c r="N94" s="413">
        <f>SUBTOTAL(109,Engineering68818889[Column12])</f>
        <v>0</v>
      </c>
      <c r="O94" s="413">
        <f>SUBTOTAL(109,Engineering68818889[Column13])</f>
        <v>0</v>
      </c>
      <c r="P94" s="415">
        <f>IFERROR(N94/M94,0)</f>
        <v>0</v>
      </c>
      <c r="Q94" s="416">
        <f>SUBTOTAL(109,Engineering68818889[Column15])</f>
        <v>0</v>
      </c>
      <c r="R94" s="417">
        <f>SUBTOTAL(109,Engineering68818889[Column16])</f>
        <v>0</v>
      </c>
      <c r="S94" s="418">
        <f>SUBTOTAL(109,Engineering68818889[Column17])</f>
        <v>0</v>
      </c>
      <c r="T94" s="422">
        <f t="shared" si="21"/>
        <v>0</v>
      </c>
      <c r="U94" s="413"/>
      <c r="V94" s="413"/>
    </row>
    <row r="95" spans="1:22" ht="18" thickBot="1" x14ac:dyDescent="0.25">
      <c r="V95" s="2"/>
    </row>
    <row r="96" spans="1:22" ht="72" thickBot="1" x14ac:dyDescent="0.25">
      <c r="A96" s="610">
        <v>13</v>
      </c>
      <c r="B96" s="614" t="s">
        <v>28</v>
      </c>
      <c r="C96" s="439" t="s">
        <v>69</v>
      </c>
      <c r="D96" s="440"/>
      <c r="E96" s="440"/>
      <c r="F96" s="440"/>
      <c r="G96" s="452"/>
      <c r="H96" s="453"/>
      <c r="I96" s="460">
        <v>0</v>
      </c>
      <c r="J96" s="461">
        <v>0</v>
      </c>
      <c r="K96" s="443">
        <f>Engineering68818890[[#This Row],[Column7]]-Engineering68818890[[#This Row],[Column8]]</f>
        <v>0</v>
      </c>
      <c r="L96" s="444">
        <f>IFERROR(J96/I96,0)</f>
        <v>0</v>
      </c>
      <c r="M96" s="462">
        <v>0</v>
      </c>
      <c r="N96" s="461">
        <v>0</v>
      </c>
      <c r="O96" s="443">
        <f>Engineering68818890[[#This Row],[Column11]]-Engineering68818890[[#This Row],[Column12]]</f>
        <v>0</v>
      </c>
      <c r="P96" s="444">
        <f>IFERROR(N96/M96,0)</f>
        <v>0</v>
      </c>
      <c r="Q96" s="463">
        <v>0</v>
      </c>
      <c r="R96" s="464">
        <v>0</v>
      </c>
      <c r="S96" s="446">
        <f>Engineering68818890[[#This Row],[Column15]]-Engineering68818890[[#This Row],[Column16]]</f>
        <v>0</v>
      </c>
      <c r="T96" s="444">
        <f t="shared" ref="T96:T101" si="22">IFERROR(R96/Q96,0)</f>
        <v>0</v>
      </c>
      <c r="U96" s="458"/>
      <c r="V96" s="447"/>
    </row>
    <row r="97" spans="1:22" ht="72" thickBot="1" x14ac:dyDescent="0.25">
      <c r="A97" s="611"/>
      <c r="B97" s="615"/>
      <c r="C97" s="439" t="s">
        <v>69</v>
      </c>
      <c r="D97" s="440"/>
      <c r="E97" s="440"/>
      <c r="F97" s="440"/>
      <c r="G97" s="458"/>
      <c r="H97" s="447"/>
      <c r="I97" s="460">
        <v>0</v>
      </c>
      <c r="J97" s="461">
        <v>0</v>
      </c>
      <c r="K97" s="443">
        <f>Engineering68818890[[#This Row],[Column7]]-Engineering68818890[[#This Row],[Column8]]</f>
        <v>0</v>
      </c>
      <c r="L97" s="444">
        <f>IFERROR(J99/I99,0)</f>
        <v>0</v>
      </c>
      <c r="M97" s="462">
        <v>0</v>
      </c>
      <c r="N97" s="461">
        <v>0</v>
      </c>
      <c r="O97" s="443">
        <f>Engineering68818890[[#This Row],[Column11]]-Engineering68818890[[#This Row],[Column12]]</f>
        <v>0</v>
      </c>
      <c r="P97" s="444">
        <f>IFERROR(N99/M99,0)</f>
        <v>0</v>
      </c>
      <c r="Q97" s="463">
        <v>0</v>
      </c>
      <c r="R97" s="464">
        <v>0</v>
      </c>
      <c r="S97" s="446">
        <f>Engineering68818890[[#This Row],[Column15]]-Engineering68818890[[#This Row],[Column16]]</f>
        <v>0</v>
      </c>
      <c r="T97" s="444">
        <f t="shared" si="22"/>
        <v>0</v>
      </c>
      <c r="U97" s="458"/>
      <c r="V97" s="447"/>
    </row>
    <row r="98" spans="1:22" ht="72" thickBot="1" x14ac:dyDescent="0.25">
      <c r="A98" s="611"/>
      <c r="B98" s="615"/>
      <c r="C98" s="439" t="s">
        <v>69</v>
      </c>
      <c r="D98" s="440"/>
      <c r="E98" s="440"/>
      <c r="F98" s="440"/>
      <c r="G98" s="458"/>
      <c r="H98" s="447"/>
      <c r="I98" s="460">
        <v>0</v>
      </c>
      <c r="J98" s="461">
        <v>0</v>
      </c>
      <c r="K98" s="443">
        <f>Engineering68818890[[#This Row],[Column7]]-Engineering68818890[[#This Row],[Column8]]</f>
        <v>0</v>
      </c>
      <c r="L98" s="444">
        <f>IFERROR(J98/I98,0)</f>
        <v>0</v>
      </c>
      <c r="M98" s="462">
        <v>0</v>
      </c>
      <c r="N98" s="461">
        <v>0</v>
      </c>
      <c r="O98" s="443">
        <f>Engineering68818890[[#This Row],[Column11]]-Engineering68818890[[#This Row],[Column12]]</f>
        <v>0</v>
      </c>
      <c r="P98" s="444">
        <f>IFERROR(N98/M98,0)</f>
        <v>0</v>
      </c>
      <c r="Q98" s="463">
        <v>0</v>
      </c>
      <c r="R98" s="464">
        <v>0</v>
      </c>
      <c r="S98" s="446">
        <f>Engineering68818890[[#This Row],[Column15]]-Engineering68818890[[#This Row],[Column16]]</f>
        <v>0</v>
      </c>
      <c r="T98" s="444">
        <f t="shared" si="22"/>
        <v>0</v>
      </c>
      <c r="U98" s="458"/>
      <c r="V98" s="447"/>
    </row>
    <row r="99" spans="1:22" ht="72" thickBot="1" x14ac:dyDescent="0.25">
      <c r="A99" s="611"/>
      <c r="B99" s="615"/>
      <c r="C99" s="439" t="s">
        <v>69</v>
      </c>
      <c r="D99" s="440"/>
      <c r="E99" s="440"/>
      <c r="F99" s="440"/>
      <c r="G99" s="458"/>
      <c r="H99" s="447"/>
      <c r="I99" s="460">
        <v>0</v>
      </c>
      <c r="J99" s="461">
        <v>0</v>
      </c>
      <c r="K99" s="443">
        <f>Engineering68818890[[#This Row],[Column7]]-Engineering68818890[[#This Row],[Column8]]</f>
        <v>0</v>
      </c>
      <c r="L99" s="444">
        <f>IFERROR(J99/I99,0)</f>
        <v>0</v>
      </c>
      <c r="M99" s="462">
        <v>0</v>
      </c>
      <c r="N99" s="461">
        <v>0</v>
      </c>
      <c r="O99" s="443">
        <f>Engineering68818890[[#This Row],[Column11]]-Engineering68818890[[#This Row],[Column12]]</f>
        <v>0</v>
      </c>
      <c r="P99" s="444">
        <f>IFERROR(N99/M99,0)</f>
        <v>0</v>
      </c>
      <c r="Q99" s="463">
        <v>0</v>
      </c>
      <c r="R99" s="464">
        <v>0</v>
      </c>
      <c r="S99" s="446">
        <f>Engineering68818890[[#This Row],[Column15]]-Engineering68818890[[#This Row],[Column16]]</f>
        <v>0</v>
      </c>
      <c r="T99" s="444">
        <f t="shared" si="22"/>
        <v>0</v>
      </c>
      <c r="U99" s="458"/>
      <c r="V99" s="447"/>
    </row>
    <row r="100" spans="1:22" ht="72" thickBot="1" x14ac:dyDescent="0.25">
      <c r="A100" s="612"/>
      <c r="B100" s="616"/>
      <c r="C100" s="439" t="s">
        <v>69</v>
      </c>
      <c r="D100" s="440"/>
      <c r="E100" s="440"/>
      <c r="F100" s="440"/>
      <c r="G100" s="458"/>
      <c r="H100" s="447"/>
      <c r="I100" s="460">
        <v>0</v>
      </c>
      <c r="J100" s="461">
        <v>0</v>
      </c>
      <c r="K100" s="443">
        <f>Engineering68818890[[#This Row],[Column7]]-Engineering68818890[[#This Row],[Column8]]</f>
        <v>0</v>
      </c>
      <c r="L100" s="444">
        <f>IFERROR(J100/I100,0)</f>
        <v>0</v>
      </c>
      <c r="M100" s="462">
        <v>0</v>
      </c>
      <c r="N100" s="461">
        <v>0</v>
      </c>
      <c r="O100" s="443">
        <f>Engineering68818890[[#This Row],[Column11]]-Engineering68818890[[#This Row],[Column12]]</f>
        <v>0</v>
      </c>
      <c r="P100" s="444">
        <f>IFERROR(N100/M100,0)</f>
        <v>0</v>
      </c>
      <c r="Q100" s="463">
        <v>0</v>
      </c>
      <c r="R100" s="464">
        <v>0</v>
      </c>
      <c r="S100" s="446">
        <f>Engineering68818890[[#This Row],[Column15]]-Engineering68818890[[#This Row],[Column16]]</f>
        <v>0</v>
      </c>
      <c r="T100" s="444">
        <f t="shared" si="22"/>
        <v>0</v>
      </c>
      <c r="U100" s="447"/>
      <c r="V100" s="447"/>
    </row>
    <row r="101" spans="1:22" s="1" customFormat="1" ht="22" thickTop="1" thickBot="1" x14ac:dyDescent="0.25">
      <c r="A101" s="412"/>
      <c r="B101" s="411" t="s">
        <v>70</v>
      </c>
      <c r="C101" s="412"/>
      <c r="D101" s="412"/>
      <c r="E101" s="412"/>
      <c r="F101" s="412"/>
      <c r="G101" s="412"/>
      <c r="H101" s="412"/>
      <c r="I101" s="412">
        <f>SUBTOTAL(109,Engineering68818890[Column7])</f>
        <v>0</v>
      </c>
      <c r="J101" s="412">
        <f>SUBTOTAL(109,Engineering68818890[Column8])</f>
        <v>0</v>
      </c>
      <c r="K101" s="412">
        <f>SUBTOTAL(105,Engineering68818890[Column9])</f>
        <v>0</v>
      </c>
      <c r="L101" s="412">
        <f>IFERROR(J101/I101,0)</f>
        <v>0</v>
      </c>
      <c r="M101" s="412">
        <f>SUBTOTAL(109,Engineering68818890[Column11])</f>
        <v>0</v>
      </c>
      <c r="N101" s="412">
        <f>SUBTOTAL(105,Engineering68818890[Column12])</f>
        <v>0</v>
      </c>
      <c r="O101" s="412">
        <f>SUBTOTAL(109,Engineering68818890[Column13])</f>
        <v>0</v>
      </c>
      <c r="P101" s="412">
        <f>IFERROR(N101/M101,0)</f>
        <v>0</v>
      </c>
      <c r="Q101" s="423">
        <f>SUBTOTAL(109,Engineering68818890[Column15])</f>
        <v>0</v>
      </c>
      <c r="R101" s="423">
        <f>SUBTOTAL(109,Engineering68818890[Column16])</f>
        <v>0</v>
      </c>
      <c r="S101" s="423">
        <f>SUBTOTAL(109,Engineering68818890[Column17])</f>
        <v>0</v>
      </c>
      <c r="T101" s="480">
        <f t="shared" si="22"/>
        <v>0</v>
      </c>
      <c r="U101" s="412"/>
      <c r="V101" s="412"/>
    </row>
    <row r="102" spans="1:22" s="468" customFormat="1" ht="20" thickBot="1" x14ac:dyDescent="0.25">
      <c r="A102" s="465"/>
      <c r="B102" s="466"/>
      <c r="C102" s="465"/>
      <c r="D102" s="465"/>
      <c r="E102" s="465"/>
      <c r="F102" s="465"/>
      <c r="G102" s="465"/>
      <c r="H102" s="465"/>
      <c r="I102" s="465"/>
      <c r="J102" s="465"/>
      <c r="K102" s="465"/>
      <c r="L102" s="465"/>
      <c r="M102" s="465"/>
      <c r="N102" s="465"/>
      <c r="O102" s="465"/>
      <c r="P102" s="465"/>
      <c r="Q102" s="465"/>
      <c r="R102" s="465"/>
      <c r="S102" s="467"/>
      <c r="T102" s="467"/>
      <c r="U102" s="465"/>
      <c r="V102" s="465"/>
    </row>
    <row r="103" spans="1:22" ht="72" thickBot="1" x14ac:dyDescent="0.25">
      <c r="A103" s="610">
        <v>14</v>
      </c>
      <c r="B103" s="614" t="s">
        <v>30</v>
      </c>
      <c r="C103" s="439" t="s">
        <v>69</v>
      </c>
      <c r="D103" s="440"/>
      <c r="E103" s="440"/>
      <c r="F103" s="440"/>
      <c r="G103" s="452"/>
      <c r="H103" s="453"/>
      <c r="I103" s="474">
        <v>0</v>
      </c>
      <c r="J103" s="475">
        <v>0</v>
      </c>
      <c r="K103" s="472">
        <f>Engineering68818891[[#This Row],[Column7]]-Engineering68818891[[#This Row],[Column8]]</f>
        <v>0</v>
      </c>
      <c r="L103" s="473">
        <f>IFERROR(J103/I103,0)</f>
        <v>0</v>
      </c>
      <c r="M103" s="462">
        <v>0</v>
      </c>
      <c r="N103" s="461">
        <v>0</v>
      </c>
      <c r="O103" s="443">
        <f>Engineering68818891[[#This Row],[Column11]]-Engineering68818891[[#This Row],[Column12]]</f>
        <v>0</v>
      </c>
      <c r="P103" s="444">
        <f>IFERROR(N103/M103,0)</f>
        <v>0</v>
      </c>
      <c r="Q103" s="463">
        <v>0</v>
      </c>
      <c r="R103" s="464">
        <v>0</v>
      </c>
      <c r="S103" s="446">
        <f>Engineering68818891[[#This Row],[Column15]]-Engineering68818891[[#This Row],[Column16]]</f>
        <v>0</v>
      </c>
      <c r="T103" s="444">
        <f t="shared" ref="T103:T109" si="23">IFERROR(R103/Q103,0)</f>
        <v>0</v>
      </c>
      <c r="U103" s="458"/>
      <c r="V103" s="447"/>
    </row>
    <row r="104" spans="1:22" ht="41.25" customHeight="1" thickBot="1" x14ac:dyDescent="0.25">
      <c r="A104" s="611"/>
      <c r="B104" s="615"/>
      <c r="C104" s="469"/>
      <c r="D104" s="470"/>
      <c r="E104" s="449"/>
      <c r="F104" s="449"/>
      <c r="G104" s="458"/>
      <c r="H104" s="447"/>
      <c r="I104" s="474">
        <v>0</v>
      </c>
      <c r="J104" s="475">
        <v>0</v>
      </c>
      <c r="K104" s="472">
        <f>Engineering68818891[[#This Row],[Column7]]-Engineering68818891[[#This Row],[Column8]]</f>
        <v>0</v>
      </c>
      <c r="L104" s="473">
        <f>IFERROR(J107/I107,0)</f>
        <v>0</v>
      </c>
      <c r="M104" s="462">
        <v>0</v>
      </c>
      <c r="N104" s="461">
        <v>0</v>
      </c>
      <c r="O104" s="443">
        <f>Engineering68818891[[#This Row],[Column11]]-Engineering68818891[[#This Row],[Column12]]</f>
        <v>0</v>
      </c>
      <c r="P104" s="444">
        <f>IFERROR(N107/M107,0)</f>
        <v>0</v>
      </c>
      <c r="Q104" s="463">
        <v>0</v>
      </c>
      <c r="R104" s="464">
        <v>0</v>
      </c>
      <c r="S104" s="446">
        <f>Engineering68818891[[#This Row],[Column15]]-Engineering68818891[[#This Row],[Column16]]</f>
        <v>0</v>
      </c>
      <c r="T104" s="444">
        <f t="shared" si="23"/>
        <v>0</v>
      </c>
      <c r="U104" s="458"/>
      <c r="V104" s="447"/>
    </row>
    <row r="105" spans="1:22" ht="32.5" customHeight="1" thickBot="1" x14ac:dyDescent="0.25">
      <c r="A105" s="611"/>
      <c r="B105" s="615"/>
      <c r="C105" s="469"/>
      <c r="D105" s="470"/>
      <c r="E105" s="449"/>
      <c r="F105" s="449"/>
      <c r="G105" s="458"/>
      <c r="H105" s="447"/>
      <c r="I105" s="474">
        <v>0</v>
      </c>
      <c r="J105" s="475">
        <v>0</v>
      </c>
      <c r="K105" s="472">
        <f>Engineering68818891[[#This Row],[Column7]]-Engineering68818891[[#This Row],[Column8]]</f>
        <v>0</v>
      </c>
      <c r="L105" s="473">
        <f>IFERROR(J108/I108,0)</f>
        <v>0</v>
      </c>
      <c r="M105" s="462">
        <v>0</v>
      </c>
      <c r="N105" s="461">
        <v>0</v>
      </c>
      <c r="O105" s="443">
        <f>Engineering68818891[[#This Row],[Column11]]-Engineering68818891[[#This Row],[Column12]]</f>
        <v>0</v>
      </c>
      <c r="P105" s="444">
        <f>IFERROR(N108/M108,0)</f>
        <v>0</v>
      </c>
      <c r="Q105" s="463">
        <v>0</v>
      </c>
      <c r="R105" s="464">
        <v>0</v>
      </c>
      <c r="S105" s="446">
        <f>Engineering68818891[[#This Row],[Column15]]-Engineering68818891[[#This Row],[Column16]]</f>
        <v>0</v>
      </c>
      <c r="T105" s="444"/>
      <c r="U105" s="458"/>
      <c r="V105" s="447"/>
    </row>
    <row r="106" spans="1:22" ht="38.25" customHeight="1" thickBot="1" x14ac:dyDescent="0.25">
      <c r="A106" s="611"/>
      <c r="B106" s="615"/>
      <c r="C106" s="469"/>
      <c r="D106" s="470"/>
      <c r="E106" s="449"/>
      <c r="F106" s="449"/>
      <c r="G106" s="458"/>
      <c r="H106" s="447"/>
      <c r="I106" s="474">
        <v>0</v>
      </c>
      <c r="J106" s="475">
        <v>0</v>
      </c>
      <c r="K106" s="443">
        <f>Engineering68818891[[#This Row],[Column7]]-Engineering68818891[[#This Row],[Column8]]</f>
        <v>0</v>
      </c>
      <c r="L106" s="444">
        <f>IFERROR(J106/I106,0)</f>
        <v>0</v>
      </c>
      <c r="M106" s="462">
        <v>0</v>
      </c>
      <c r="N106" s="461">
        <v>0</v>
      </c>
      <c r="O106" s="443">
        <f>Engineering68818891[[#This Row],[Column11]]-Engineering68818891[[#This Row],[Column12]]</f>
        <v>0</v>
      </c>
      <c r="P106" s="444">
        <f>IFERROR(N106/M106,0)</f>
        <v>0</v>
      </c>
      <c r="Q106" s="463">
        <v>0</v>
      </c>
      <c r="R106" s="464">
        <v>0</v>
      </c>
      <c r="S106" s="446">
        <f>Engineering68818891[[#This Row],[Column15]]-Engineering68818891[[#This Row],[Column16]]</f>
        <v>0</v>
      </c>
      <c r="T106" s="444">
        <f t="shared" si="23"/>
        <v>0</v>
      </c>
      <c r="U106" s="458"/>
      <c r="V106" s="447"/>
    </row>
    <row r="107" spans="1:22" ht="44.25" customHeight="1" thickBot="1" x14ac:dyDescent="0.25">
      <c r="A107" s="611"/>
      <c r="B107" s="615"/>
      <c r="C107" s="469"/>
      <c r="D107" s="470"/>
      <c r="E107" s="449"/>
      <c r="F107" s="449"/>
      <c r="G107" s="458"/>
      <c r="H107" s="447"/>
      <c r="I107" s="474">
        <v>0</v>
      </c>
      <c r="J107" s="475">
        <v>0</v>
      </c>
      <c r="K107" s="443">
        <f>Engineering68818891[[#This Row],[Column7]]-Engineering68818891[[#This Row],[Column8]]</f>
        <v>0</v>
      </c>
      <c r="L107" s="444">
        <f>IFERROR(J107/I107,0)</f>
        <v>0</v>
      </c>
      <c r="M107" s="462">
        <v>0</v>
      </c>
      <c r="N107" s="461">
        <v>0</v>
      </c>
      <c r="O107" s="443">
        <f>Engineering68818891[[#This Row],[Column11]]-Engineering68818891[[#This Row],[Column12]]</f>
        <v>0</v>
      </c>
      <c r="P107" s="444">
        <f>IFERROR(N107/M107,0)</f>
        <v>0</v>
      </c>
      <c r="Q107" s="463">
        <v>0</v>
      </c>
      <c r="R107" s="464">
        <v>0</v>
      </c>
      <c r="S107" s="446">
        <f>Engineering68818891[[#This Row],[Column15]]-Engineering68818891[[#This Row],[Column16]]</f>
        <v>0</v>
      </c>
      <c r="T107" s="444">
        <f t="shared" si="23"/>
        <v>0</v>
      </c>
      <c r="U107" s="458"/>
      <c r="V107" s="447"/>
    </row>
    <row r="108" spans="1:22" ht="39.75" customHeight="1" thickBot="1" x14ac:dyDescent="0.25">
      <c r="A108" s="612"/>
      <c r="B108" s="616"/>
      <c r="C108" s="469"/>
      <c r="D108" s="470"/>
      <c r="E108" s="449"/>
      <c r="F108" s="449"/>
      <c r="G108" s="458"/>
      <c r="H108" s="447"/>
      <c r="I108" s="474">
        <v>0</v>
      </c>
      <c r="J108" s="475">
        <v>0</v>
      </c>
      <c r="K108" s="443">
        <f>Engineering68818891[[#This Row],[Column7]]-Engineering68818891[[#This Row],[Column8]]</f>
        <v>0</v>
      </c>
      <c r="L108" s="444">
        <f>IFERROR(J108/I108,0)</f>
        <v>0</v>
      </c>
      <c r="M108" s="462">
        <v>0</v>
      </c>
      <c r="N108" s="461">
        <v>0</v>
      </c>
      <c r="O108" s="443">
        <f>Engineering68818891[[#This Row],[Column11]]-Engineering68818891[[#This Row],[Column12]]</f>
        <v>0</v>
      </c>
      <c r="P108" s="444">
        <f>IFERROR(N108/M108,0)</f>
        <v>0</v>
      </c>
      <c r="Q108" s="463">
        <v>0</v>
      </c>
      <c r="R108" s="464">
        <v>0</v>
      </c>
      <c r="S108" s="446">
        <f>Engineering68818891[[#This Row],[Column15]]-Engineering68818891[[#This Row],[Column16]]</f>
        <v>0</v>
      </c>
      <c r="T108" s="444">
        <f t="shared" si="23"/>
        <v>0</v>
      </c>
      <c r="U108" s="447"/>
      <c r="V108" s="447"/>
    </row>
    <row r="109" spans="1:22" s="1" customFormat="1" ht="22" thickTop="1" thickBot="1" x14ac:dyDescent="0.25">
      <c r="A109" s="420"/>
      <c r="B109" s="411" t="s">
        <v>70</v>
      </c>
      <c r="C109" s="412"/>
      <c r="D109" s="413"/>
      <c r="E109" s="413"/>
      <c r="F109" s="413"/>
      <c r="G109" s="413"/>
      <c r="H109" s="413"/>
      <c r="I109" s="414">
        <f>SUBTOTAL(109,Engineering68818891[Column7])</f>
        <v>0</v>
      </c>
      <c r="J109" s="413">
        <f>SUBTOTAL(109,Engineering68818891[Column8])</f>
        <v>0</v>
      </c>
      <c r="K109" s="413">
        <f>SUBTOTAL(109,Engineering68818891[Column9])</f>
        <v>0</v>
      </c>
      <c r="L109" s="415">
        <f>IFERROR(J109/I109,0)</f>
        <v>0</v>
      </c>
      <c r="M109" s="414">
        <f>SUBTOTAL(109,Engineering68818891[Column11])</f>
        <v>0</v>
      </c>
      <c r="N109" s="413">
        <f>SUBTOTAL(109,Engineering68818891[Column12])</f>
        <v>0</v>
      </c>
      <c r="O109" s="413">
        <f>SUBTOTAL(109,Engineering68818891[Column13])</f>
        <v>0</v>
      </c>
      <c r="P109" s="415">
        <f>IFERROR(N109/M109,0)</f>
        <v>0</v>
      </c>
      <c r="Q109" s="416">
        <f>SUBTOTAL(109,Engineering68818891[Column15])</f>
        <v>0</v>
      </c>
      <c r="R109" s="417">
        <f>SUBTOTAL(109,Engineering68818891[Column16])</f>
        <v>0</v>
      </c>
      <c r="S109" s="418">
        <f>SUBTOTAL(109,Engineering68818891[Column17])</f>
        <v>0</v>
      </c>
      <c r="T109" s="422">
        <f t="shared" si="23"/>
        <v>0</v>
      </c>
      <c r="U109" s="413"/>
      <c r="V109" s="413"/>
    </row>
    <row r="110" spans="1:22" ht="18" thickBot="1" x14ac:dyDescent="0.25">
      <c r="V110" s="2"/>
    </row>
    <row r="111" spans="1:22" ht="72" thickBot="1" x14ac:dyDescent="0.25">
      <c r="A111" s="610">
        <v>15</v>
      </c>
      <c r="B111" s="614" t="s">
        <v>32</v>
      </c>
      <c r="C111" s="439" t="s">
        <v>69</v>
      </c>
      <c r="D111" s="440"/>
      <c r="E111" s="440"/>
      <c r="F111" s="440"/>
      <c r="G111" s="452"/>
      <c r="H111" s="453"/>
      <c r="I111" s="460">
        <v>0</v>
      </c>
      <c r="J111" s="461">
        <v>0</v>
      </c>
      <c r="K111" s="443">
        <f>Engineering68818892[[#This Row],[Column7]]-Engineering68818892[[#This Row],[Column8]]</f>
        <v>0</v>
      </c>
      <c r="L111" s="444">
        <f>IFERROR(J111/I111,0)</f>
        <v>0</v>
      </c>
      <c r="M111" s="462">
        <v>0</v>
      </c>
      <c r="N111" s="461">
        <v>0</v>
      </c>
      <c r="O111" s="443">
        <f>Engineering68818892[[#This Row],[Column11]]-Engineering68818892[[#This Row],[Column12]]</f>
        <v>0</v>
      </c>
      <c r="P111" s="444">
        <f>IFERROR(N111/M111,0)</f>
        <v>0</v>
      </c>
      <c r="Q111" s="463">
        <v>0</v>
      </c>
      <c r="R111" s="464">
        <v>0</v>
      </c>
      <c r="S111" s="446">
        <f>Engineering68818892[[#This Row],[Column15]]-Engineering68818892[[#This Row],[Column16]]</f>
        <v>0</v>
      </c>
      <c r="T111" s="444">
        <f t="shared" ref="T111:T116" si="24">IFERROR(R111/Q111,0)</f>
        <v>0</v>
      </c>
      <c r="U111" s="458"/>
      <c r="V111" s="447"/>
    </row>
    <row r="112" spans="1:22" ht="72" thickBot="1" x14ac:dyDescent="0.25">
      <c r="A112" s="611"/>
      <c r="B112" s="615"/>
      <c r="C112" s="439" t="s">
        <v>69</v>
      </c>
      <c r="D112" s="440"/>
      <c r="E112" s="440"/>
      <c r="F112" s="440"/>
      <c r="G112" s="458"/>
      <c r="H112" s="447"/>
      <c r="I112" s="460">
        <v>0</v>
      </c>
      <c r="J112" s="461">
        <v>0</v>
      </c>
      <c r="K112" s="472">
        <f>Engineering68818892[[#This Row],[Column7]]-Engineering68818892[[#This Row],[Column8]]</f>
        <v>0</v>
      </c>
      <c r="L112" s="473">
        <f>IFERROR(J114/I114,0)</f>
        <v>0</v>
      </c>
      <c r="M112" s="462">
        <v>0</v>
      </c>
      <c r="N112" s="461">
        <v>0</v>
      </c>
      <c r="O112" s="472">
        <f>Engineering68818892[[#This Row],[Column11]]-Engineering68818892[[#This Row],[Column12]]</f>
        <v>0</v>
      </c>
      <c r="P112" s="444">
        <f>IFERROR(N114/M114,0)</f>
        <v>0</v>
      </c>
      <c r="Q112" s="463">
        <v>0</v>
      </c>
      <c r="R112" s="464">
        <v>0</v>
      </c>
      <c r="S112" s="446">
        <f>Engineering68818892[[#This Row],[Column15]]-Engineering68818892[[#This Row],[Column16]]</f>
        <v>0</v>
      </c>
      <c r="T112" s="444">
        <f t="shared" si="24"/>
        <v>0</v>
      </c>
      <c r="U112" s="458"/>
      <c r="V112" s="447"/>
    </row>
    <row r="113" spans="1:22" ht="72" thickBot="1" x14ac:dyDescent="0.25">
      <c r="A113" s="611"/>
      <c r="B113" s="615"/>
      <c r="C113" s="439" t="s">
        <v>69</v>
      </c>
      <c r="D113" s="440"/>
      <c r="E113" s="440"/>
      <c r="F113" s="440"/>
      <c r="G113" s="458"/>
      <c r="H113" s="447"/>
      <c r="I113" s="460">
        <v>0</v>
      </c>
      <c r="J113" s="461">
        <v>0</v>
      </c>
      <c r="K113" s="443">
        <f>Engineering68818892[[#This Row],[Column7]]-Engineering68818892[[#This Row],[Column8]]</f>
        <v>0</v>
      </c>
      <c r="L113" s="444">
        <f>IFERROR(J113/I113,0)</f>
        <v>0</v>
      </c>
      <c r="M113" s="462">
        <v>0</v>
      </c>
      <c r="N113" s="461">
        <v>0</v>
      </c>
      <c r="O113" s="443">
        <f>Engineering68818892[[#This Row],[Column11]]-Engineering68818892[[#This Row],[Column12]]</f>
        <v>0</v>
      </c>
      <c r="P113" s="444">
        <f>IFERROR(N113/M113,0)</f>
        <v>0</v>
      </c>
      <c r="Q113" s="463">
        <v>0</v>
      </c>
      <c r="R113" s="464">
        <v>0</v>
      </c>
      <c r="S113" s="446">
        <f>Engineering68818892[[#This Row],[Column15]]-Engineering68818892[[#This Row],[Column16]]</f>
        <v>0</v>
      </c>
      <c r="T113" s="444">
        <f t="shared" si="24"/>
        <v>0</v>
      </c>
      <c r="U113" s="458"/>
      <c r="V113" s="447"/>
    </row>
    <row r="114" spans="1:22" ht="72" thickBot="1" x14ac:dyDescent="0.25">
      <c r="A114" s="611"/>
      <c r="B114" s="615"/>
      <c r="C114" s="439" t="s">
        <v>69</v>
      </c>
      <c r="D114" s="440"/>
      <c r="E114" s="440"/>
      <c r="F114" s="440"/>
      <c r="G114" s="458"/>
      <c r="H114" s="447"/>
      <c r="I114" s="460">
        <v>0</v>
      </c>
      <c r="J114" s="461">
        <v>0</v>
      </c>
      <c r="K114" s="443">
        <f>Engineering68818892[[#This Row],[Column7]]-Engineering68818892[[#This Row],[Column8]]</f>
        <v>0</v>
      </c>
      <c r="L114" s="444">
        <f>IFERROR(J114/I114,0)</f>
        <v>0</v>
      </c>
      <c r="M114" s="462">
        <v>0</v>
      </c>
      <c r="N114" s="461">
        <v>0</v>
      </c>
      <c r="O114" s="443">
        <f>Engineering68818892[[#This Row],[Column11]]-Engineering68818892[[#This Row],[Column12]]</f>
        <v>0</v>
      </c>
      <c r="P114" s="444">
        <f>IFERROR(N114/M114,0)</f>
        <v>0</v>
      </c>
      <c r="Q114" s="463">
        <v>0</v>
      </c>
      <c r="R114" s="464">
        <v>0</v>
      </c>
      <c r="S114" s="446">
        <f>Engineering68818892[[#This Row],[Column15]]-Engineering68818892[[#This Row],[Column16]]</f>
        <v>0</v>
      </c>
      <c r="T114" s="444">
        <f t="shared" si="24"/>
        <v>0</v>
      </c>
      <c r="U114" s="458"/>
      <c r="V114" s="447"/>
    </row>
    <row r="115" spans="1:22" ht="72" thickBot="1" x14ac:dyDescent="0.25">
      <c r="A115" s="612"/>
      <c r="B115" s="616"/>
      <c r="C115" s="439" t="s">
        <v>69</v>
      </c>
      <c r="D115" s="440"/>
      <c r="E115" s="440"/>
      <c r="F115" s="440"/>
      <c r="G115" s="458"/>
      <c r="H115" s="447"/>
      <c r="I115" s="460">
        <v>0</v>
      </c>
      <c r="J115" s="461">
        <v>0</v>
      </c>
      <c r="K115" s="443">
        <f>Engineering68818892[[#This Row],[Column7]]-Engineering68818892[[#This Row],[Column8]]</f>
        <v>0</v>
      </c>
      <c r="L115" s="444">
        <f>IFERROR(J115/I115,0)</f>
        <v>0</v>
      </c>
      <c r="M115" s="462">
        <v>0</v>
      </c>
      <c r="N115" s="461">
        <v>0</v>
      </c>
      <c r="O115" s="443">
        <f>Engineering68818892[[#This Row],[Column11]]-Engineering68818892[[#This Row],[Column12]]</f>
        <v>0</v>
      </c>
      <c r="P115" s="444">
        <f>IFERROR(N115/M115,0)</f>
        <v>0</v>
      </c>
      <c r="Q115" s="463">
        <v>0</v>
      </c>
      <c r="R115" s="464">
        <v>0</v>
      </c>
      <c r="S115" s="446">
        <f>Engineering68818892[[#This Row],[Column15]]-Engineering68818892[[#This Row],[Column16]]</f>
        <v>0</v>
      </c>
      <c r="T115" s="444">
        <f t="shared" si="24"/>
        <v>0</v>
      </c>
      <c r="U115" s="447"/>
      <c r="V115" s="447"/>
    </row>
    <row r="116" spans="1:22" s="1" customFormat="1" ht="22" thickTop="1" thickBot="1" x14ac:dyDescent="0.25">
      <c r="A116" s="420"/>
      <c r="B116" s="411" t="s">
        <v>70</v>
      </c>
      <c r="C116" s="412"/>
      <c r="D116" s="413"/>
      <c r="E116" s="413"/>
      <c r="F116" s="413"/>
      <c r="G116" s="413"/>
      <c r="H116" s="413"/>
      <c r="I116" s="414">
        <f>SUBTOTAL(109,Engineering68818892[Column7])</f>
        <v>0</v>
      </c>
      <c r="J116" s="413">
        <f>SUBTOTAL(109,Engineering68818892[Column8])</f>
        <v>0</v>
      </c>
      <c r="K116" s="413">
        <f>SUBTOTAL(109,Engineering68818892[Column9])</f>
        <v>0</v>
      </c>
      <c r="L116" s="415">
        <f>IFERROR(J116/I116,0)</f>
        <v>0</v>
      </c>
      <c r="M116" s="414">
        <f>SUBTOTAL(109,Engineering68818892[Column11])</f>
        <v>0</v>
      </c>
      <c r="N116" s="413">
        <f>SUBTOTAL(109,Engineering68818892[Column12])</f>
        <v>0</v>
      </c>
      <c r="O116" s="413">
        <f>SUBTOTAL(109,Engineering68818892[Column13])</f>
        <v>0</v>
      </c>
      <c r="P116" s="415">
        <f>IFERROR(N116/M116,0)</f>
        <v>0</v>
      </c>
      <c r="Q116" s="416">
        <f>SUBTOTAL(109,Engineering68818892[Column15])</f>
        <v>0</v>
      </c>
      <c r="R116" s="417">
        <f>SUBTOTAL(109,Engineering68818892[Column16])</f>
        <v>0</v>
      </c>
      <c r="S116" s="418">
        <f>SUBTOTAL(109,Engineering68818892[Column17])</f>
        <v>0</v>
      </c>
      <c r="T116" s="422">
        <f t="shared" si="24"/>
        <v>0</v>
      </c>
      <c r="U116" s="413"/>
      <c r="V116" s="413"/>
    </row>
    <row r="117" spans="1:22" ht="18" thickBot="1" x14ac:dyDescent="0.25">
      <c r="V117" s="2"/>
    </row>
    <row r="118" spans="1:22" ht="72" thickBot="1" x14ac:dyDescent="0.25">
      <c r="A118" s="610">
        <v>16</v>
      </c>
      <c r="B118" s="614" t="s">
        <v>34</v>
      </c>
      <c r="C118" s="439" t="s">
        <v>69</v>
      </c>
      <c r="D118" s="440"/>
      <c r="E118" s="440"/>
      <c r="F118" s="440"/>
      <c r="G118" s="452"/>
      <c r="H118" s="453"/>
      <c r="I118" s="460">
        <v>0</v>
      </c>
      <c r="J118" s="461">
        <v>0</v>
      </c>
      <c r="K118" s="443">
        <f>Engineering6881889293[[#This Row],[Column7]]-Engineering6881889293[[#This Row],[Column8]]</f>
        <v>0</v>
      </c>
      <c r="L118" s="444">
        <f>IFERROR(J118/I118,0)</f>
        <v>0</v>
      </c>
      <c r="M118" s="462">
        <v>0</v>
      </c>
      <c r="N118" s="461">
        <v>0</v>
      </c>
      <c r="O118" s="443">
        <f>Engineering6881889293[[#This Row],[Column11]]-Engineering6881889293[[#This Row],[Column12]]</f>
        <v>0</v>
      </c>
      <c r="P118" s="444">
        <f>IFERROR(N118/M118,0)</f>
        <v>0</v>
      </c>
      <c r="Q118" s="463">
        <v>0</v>
      </c>
      <c r="R118" s="464">
        <v>0</v>
      </c>
      <c r="S118" s="446">
        <f>Engineering6881889293[[#This Row],[Column15]]-Engineering6881889293[[#This Row],[Column16]]</f>
        <v>0</v>
      </c>
      <c r="T118" s="444">
        <f t="shared" ref="T118:T123" si="25">IFERROR(R118/Q118,0)</f>
        <v>0</v>
      </c>
      <c r="U118" s="458"/>
      <c r="V118" s="447"/>
    </row>
    <row r="119" spans="1:22" ht="72" thickBot="1" x14ac:dyDescent="0.25">
      <c r="A119" s="611"/>
      <c r="B119" s="615"/>
      <c r="C119" s="439" t="s">
        <v>69</v>
      </c>
      <c r="D119" s="440"/>
      <c r="E119" s="440"/>
      <c r="F119" s="440"/>
      <c r="G119" s="458"/>
      <c r="H119" s="447"/>
      <c r="I119" s="460">
        <v>0</v>
      </c>
      <c r="J119" s="461">
        <v>0</v>
      </c>
      <c r="K119" s="443">
        <f>Engineering6881889293[[#This Row],[Column7]]-Engineering6881889293[[#This Row],[Column8]]</f>
        <v>0</v>
      </c>
      <c r="L119" s="444">
        <f>IFERROR(J121/I121,0)</f>
        <v>0</v>
      </c>
      <c r="M119" s="462">
        <v>0</v>
      </c>
      <c r="N119" s="461">
        <v>0</v>
      </c>
      <c r="O119" s="443">
        <f>Engineering6881889293[[#This Row],[Column11]]-Engineering6881889293[[#This Row],[Column12]]</f>
        <v>0</v>
      </c>
      <c r="P119" s="444">
        <f>IFERROR(N121/M121,0)</f>
        <v>0</v>
      </c>
      <c r="Q119" s="463">
        <v>0</v>
      </c>
      <c r="R119" s="464">
        <v>0</v>
      </c>
      <c r="S119" s="446">
        <f>Engineering6881889293[[#This Row],[Column15]]-Engineering6881889293[[#This Row],[Column16]]</f>
        <v>0</v>
      </c>
      <c r="T119" s="444">
        <f t="shared" si="25"/>
        <v>0</v>
      </c>
      <c r="U119" s="458"/>
      <c r="V119" s="447"/>
    </row>
    <row r="120" spans="1:22" ht="72" thickBot="1" x14ac:dyDescent="0.25">
      <c r="A120" s="611"/>
      <c r="B120" s="615"/>
      <c r="C120" s="439" t="s">
        <v>69</v>
      </c>
      <c r="D120" s="440"/>
      <c r="E120" s="440"/>
      <c r="F120" s="440"/>
      <c r="G120" s="458"/>
      <c r="H120" s="447"/>
      <c r="I120" s="460">
        <v>0</v>
      </c>
      <c r="J120" s="461">
        <v>0</v>
      </c>
      <c r="K120" s="443">
        <f>Engineering6881889293[[#This Row],[Column7]]-Engineering6881889293[[#This Row],[Column8]]</f>
        <v>0</v>
      </c>
      <c r="L120" s="444">
        <f>IFERROR(J120/I120,0)</f>
        <v>0</v>
      </c>
      <c r="M120" s="462">
        <v>0</v>
      </c>
      <c r="N120" s="461">
        <v>0</v>
      </c>
      <c r="O120" s="443">
        <f>Engineering6881889293[[#This Row],[Column11]]-Engineering6881889293[[#This Row],[Column12]]</f>
        <v>0</v>
      </c>
      <c r="P120" s="444">
        <f>IFERROR(N120/M120,0)</f>
        <v>0</v>
      </c>
      <c r="Q120" s="463">
        <v>0</v>
      </c>
      <c r="R120" s="464">
        <v>0</v>
      </c>
      <c r="S120" s="446">
        <f>Engineering6881889293[[#This Row],[Column15]]-Engineering6881889293[[#This Row],[Column16]]</f>
        <v>0</v>
      </c>
      <c r="T120" s="444">
        <f t="shared" si="25"/>
        <v>0</v>
      </c>
      <c r="U120" s="458"/>
      <c r="V120" s="447"/>
    </row>
    <row r="121" spans="1:22" ht="72" thickBot="1" x14ac:dyDescent="0.25">
      <c r="A121" s="611"/>
      <c r="B121" s="615"/>
      <c r="C121" s="439" t="s">
        <v>69</v>
      </c>
      <c r="D121" s="440"/>
      <c r="E121" s="440"/>
      <c r="F121" s="440"/>
      <c r="G121" s="458"/>
      <c r="H121" s="447"/>
      <c r="I121" s="460">
        <v>0</v>
      </c>
      <c r="J121" s="461">
        <v>0</v>
      </c>
      <c r="K121" s="443">
        <f>Engineering6881889293[[#This Row],[Column7]]-Engineering6881889293[[#This Row],[Column8]]</f>
        <v>0</v>
      </c>
      <c r="L121" s="444">
        <f>IFERROR(J121/I121,0)</f>
        <v>0</v>
      </c>
      <c r="M121" s="462">
        <v>0</v>
      </c>
      <c r="N121" s="461">
        <v>0</v>
      </c>
      <c r="O121" s="443">
        <f>Engineering6881889293[[#This Row],[Column11]]-Engineering6881889293[[#This Row],[Column12]]</f>
        <v>0</v>
      </c>
      <c r="P121" s="444">
        <f>IFERROR(N121/M121,0)</f>
        <v>0</v>
      </c>
      <c r="Q121" s="463">
        <v>0</v>
      </c>
      <c r="R121" s="464">
        <v>0</v>
      </c>
      <c r="S121" s="446">
        <f>Engineering6881889293[[#This Row],[Column15]]-Engineering6881889293[[#This Row],[Column16]]</f>
        <v>0</v>
      </c>
      <c r="T121" s="444">
        <f t="shared" si="25"/>
        <v>0</v>
      </c>
      <c r="U121" s="458"/>
      <c r="V121" s="447"/>
    </row>
    <row r="122" spans="1:22" ht="72" thickBot="1" x14ac:dyDescent="0.25">
      <c r="A122" s="612"/>
      <c r="B122" s="616"/>
      <c r="C122" s="439" t="s">
        <v>69</v>
      </c>
      <c r="D122" s="440"/>
      <c r="E122" s="440"/>
      <c r="F122" s="440"/>
      <c r="G122" s="458"/>
      <c r="H122" s="447"/>
      <c r="I122" s="460">
        <v>0</v>
      </c>
      <c r="J122" s="461">
        <v>0</v>
      </c>
      <c r="K122" s="443">
        <f>Engineering6881889293[[#This Row],[Column7]]-Engineering6881889293[[#This Row],[Column8]]</f>
        <v>0</v>
      </c>
      <c r="L122" s="444">
        <f>IFERROR(J122/I122,0)</f>
        <v>0</v>
      </c>
      <c r="M122" s="462">
        <v>0</v>
      </c>
      <c r="N122" s="461">
        <v>0</v>
      </c>
      <c r="O122" s="443">
        <f>Engineering6881889293[[#This Row],[Column11]]-Engineering6881889293[[#This Row],[Column12]]</f>
        <v>0</v>
      </c>
      <c r="P122" s="444">
        <f>IFERROR(N122/M122,0)</f>
        <v>0</v>
      </c>
      <c r="Q122" s="463">
        <v>0</v>
      </c>
      <c r="R122" s="464">
        <v>0</v>
      </c>
      <c r="S122" s="446">
        <f>Engineering6881889293[[#This Row],[Column15]]-Engineering6881889293[[#This Row],[Column16]]</f>
        <v>0</v>
      </c>
      <c r="T122" s="444">
        <f t="shared" si="25"/>
        <v>0</v>
      </c>
      <c r="U122" s="447"/>
      <c r="V122" s="447"/>
    </row>
    <row r="123" spans="1:22" s="1" customFormat="1" ht="22" thickTop="1" thickBot="1" x14ac:dyDescent="0.25">
      <c r="A123" s="420"/>
      <c r="B123" s="411" t="s">
        <v>70</v>
      </c>
      <c r="C123" s="412"/>
      <c r="D123" s="413"/>
      <c r="E123" s="413"/>
      <c r="F123" s="413"/>
      <c r="G123" s="413"/>
      <c r="H123" s="413"/>
      <c r="I123" s="414">
        <f>SUBTOTAL(109,Engineering6881889293[Column7])</f>
        <v>0</v>
      </c>
      <c r="J123" s="413">
        <f>SUBTOTAL(109,Engineering6881889293[Column8])</f>
        <v>0</v>
      </c>
      <c r="K123" s="413">
        <f>SUBTOTAL(109,Engineering6881889293[Column9])</f>
        <v>0</v>
      </c>
      <c r="L123" s="415">
        <f>IFERROR(J123/I123,0)</f>
        <v>0</v>
      </c>
      <c r="M123" s="414">
        <f>SUBTOTAL(109,Engineering6881889293[Column11])</f>
        <v>0</v>
      </c>
      <c r="N123" s="413">
        <f>SUBTOTAL(109,Engineering6881889293[Column12])</f>
        <v>0</v>
      </c>
      <c r="O123" s="413">
        <f>SUBTOTAL(109,Engineering6881889293[Column13])</f>
        <v>0</v>
      </c>
      <c r="P123" s="415">
        <f>IFERROR(N123/M123,0)</f>
        <v>0</v>
      </c>
      <c r="Q123" s="416">
        <f>SUBTOTAL(109,Engineering6881889293[Column15])</f>
        <v>0</v>
      </c>
      <c r="R123" s="417">
        <f>SUBTOTAL(109,Engineering6881889293[Column16])</f>
        <v>0</v>
      </c>
      <c r="S123" s="418">
        <f>SUBTOTAL(109,Engineering6881889293[Column17])</f>
        <v>0</v>
      </c>
      <c r="T123" s="422">
        <f t="shared" si="25"/>
        <v>0</v>
      </c>
      <c r="U123" s="413"/>
      <c r="V123" s="413"/>
    </row>
    <row r="124" spans="1:22" ht="18" thickBot="1" x14ac:dyDescent="0.25">
      <c r="V124" s="2"/>
    </row>
    <row r="125" spans="1:22" ht="72" thickBot="1" x14ac:dyDescent="0.25">
      <c r="A125" s="610">
        <v>17</v>
      </c>
      <c r="B125" s="614" t="s">
        <v>36</v>
      </c>
      <c r="C125" s="439" t="s">
        <v>69</v>
      </c>
      <c r="D125" s="440"/>
      <c r="E125" s="440"/>
      <c r="F125" s="440"/>
      <c r="G125" s="452"/>
      <c r="H125" s="453"/>
      <c r="I125" s="460">
        <v>0</v>
      </c>
      <c r="J125" s="461">
        <v>0</v>
      </c>
      <c r="K125" s="443">
        <f>Engineering6881889295[[#This Row],[Column7]]-Engineering6881889295[[#This Row],[Column8]]</f>
        <v>0</v>
      </c>
      <c r="L125" s="444">
        <f>IFERROR(J125/I125,0)</f>
        <v>0</v>
      </c>
      <c r="M125" s="462">
        <v>0</v>
      </c>
      <c r="N125" s="461">
        <v>0</v>
      </c>
      <c r="O125" s="443">
        <f>Engineering6881889295[[#This Row],[Column11]]-Engineering6881889295[[#This Row],[Column12]]</f>
        <v>0</v>
      </c>
      <c r="P125" s="444">
        <f>IFERROR(N125/M125,0)</f>
        <v>0</v>
      </c>
      <c r="Q125" s="463">
        <v>0</v>
      </c>
      <c r="R125" s="464">
        <v>0</v>
      </c>
      <c r="S125" s="446">
        <f>Engineering6881889295[[#This Row],[Column15]]-Engineering6881889295[[#This Row],[Column16]]</f>
        <v>0</v>
      </c>
      <c r="T125" s="444">
        <f t="shared" ref="T125:T130" si="26">IFERROR(R125/Q125,0)</f>
        <v>0</v>
      </c>
      <c r="U125" s="458"/>
      <c r="V125" s="447"/>
    </row>
    <row r="126" spans="1:22" ht="72" thickBot="1" x14ac:dyDescent="0.25">
      <c r="A126" s="611"/>
      <c r="B126" s="615"/>
      <c r="C126" s="439" t="s">
        <v>69</v>
      </c>
      <c r="D126" s="440"/>
      <c r="E126" s="440"/>
      <c r="F126" s="440"/>
      <c r="G126" s="458"/>
      <c r="H126" s="447"/>
      <c r="I126" s="460">
        <v>0</v>
      </c>
      <c r="J126" s="461">
        <v>0</v>
      </c>
      <c r="K126" s="443">
        <f>Engineering6881889295[[#This Row],[Column7]]-Engineering6881889295[[#This Row],[Column8]]</f>
        <v>0</v>
      </c>
      <c r="L126" s="444">
        <f>IFERROR(J128/I128,0)</f>
        <v>0</v>
      </c>
      <c r="M126" s="462">
        <v>0</v>
      </c>
      <c r="N126" s="461">
        <v>0</v>
      </c>
      <c r="O126" s="443">
        <f>Engineering6881889295[[#This Row],[Column11]]-Engineering6881889295[[#This Row],[Column12]]</f>
        <v>0</v>
      </c>
      <c r="P126" s="444">
        <f>IFERROR(N128/M128,0)</f>
        <v>0</v>
      </c>
      <c r="Q126" s="463">
        <v>0</v>
      </c>
      <c r="R126" s="464">
        <v>0</v>
      </c>
      <c r="S126" s="446">
        <f>Engineering6881889295[[#This Row],[Column15]]-Engineering6881889295[[#This Row],[Column16]]</f>
        <v>0</v>
      </c>
      <c r="T126" s="444">
        <f t="shared" si="26"/>
        <v>0</v>
      </c>
      <c r="U126" s="458"/>
      <c r="V126" s="447"/>
    </row>
    <row r="127" spans="1:22" ht="72" thickBot="1" x14ac:dyDescent="0.25">
      <c r="A127" s="611"/>
      <c r="B127" s="615"/>
      <c r="C127" s="439" t="s">
        <v>69</v>
      </c>
      <c r="D127" s="440"/>
      <c r="E127" s="440"/>
      <c r="F127" s="440"/>
      <c r="G127" s="458"/>
      <c r="H127" s="447"/>
      <c r="I127" s="460">
        <v>0</v>
      </c>
      <c r="J127" s="461">
        <v>0</v>
      </c>
      <c r="K127" s="443">
        <f>Engineering6881889295[[#This Row],[Column7]]-Engineering6881889295[[#This Row],[Column8]]</f>
        <v>0</v>
      </c>
      <c r="L127" s="444">
        <f>IFERROR(J127/I127,0)</f>
        <v>0</v>
      </c>
      <c r="M127" s="462">
        <v>0</v>
      </c>
      <c r="N127" s="461">
        <v>0</v>
      </c>
      <c r="O127" s="443">
        <f>Engineering6881889295[[#This Row],[Column11]]-Engineering6881889295[[#This Row],[Column12]]</f>
        <v>0</v>
      </c>
      <c r="P127" s="444">
        <f>IFERROR(N127/M127,0)</f>
        <v>0</v>
      </c>
      <c r="Q127" s="463">
        <v>0</v>
      </c>
      <c r="R127" s="464">
        <v>0</v>
      </c>
      <c r="S127" s="446">
        <f>Engineering6881889295[[#This Row],[Column15]]-Engineering6881889295[[#This Row],[Column16]]</f>
        <v>0</v>
      </c>
      <c r="T127" s="444">
        <f t="shared" si="26"/>
        <v>0</v>
      </c>
      <c r="U127" s="458"/>
      <c r="V127" s="447"/>
    </row>
    <row r="128" spans="1:22" ht="72" thickBot="1" x14ac:dyDescent="0.25">
      <c r="A128" s="611"/>
      <c r="B128" s="615"/>
      <c r="C128" s="439" t="s">
        <v>69</v>
      </c>
      <c r="D128" s="440"/>
      <c r="E128" s="440"/>
      <c r="F128" s="440"/>
      <c r="G128" s="458"/>
      <c r="H128" s="447"/>
      <c r="I128" s="460">
        <v>0</v>
      </c>
      <c r="J128" s="461">
        <v>0</v>
      </c>
      <c r="K128" s="443">
        <f>Engineering6881889295[[#This Row],[Column7]]-Engineering6881889295[[#This Row],[Column8]]</f>
        <v>0</v>
      </c>
      <c r="L128" s="444">
        <f>IFERROR(J128/I128,0)</f>
        <v>0</v>
      </c>
      <c r="M128" s="462">
        <v>0</v>
      </c>
      <c r="N128" s="461">
        <v>0</v>
      </c>
      <c r="O128" s="443">
        <f>Engineering6881889295[[#This Row],[Column11]]-Engineering6881889295[[#This Row],[Column12]]</f>
        <v>0</v>
      </c>
      <c r="P128" s="444">
        <f>IFERROR(N128/M128,0)</f>
        <v>0</v>
      </c>
      <c r="Q128" s="463">
        <v>0</v>
      </c>
      <c r="R128" s="464">
        <v>0</v>
      </c>
      <c r="S128" s="446">
        <f>Engineering6881889295[[#This Row],[Column15]]-Engineering6881889295[[#This Row],[Column16]]</f>
        <v>0</v>
      </c>
      <c r="T128" s="444">
        <f t="shared" si="26"/>
        <v>0</v>
      </c>
      <c r="U128" s="458"/>
      <c r="V128" s="447"/>
    </row>
    <row r="129" spans="1:22" ht="72" thickBot="1" x14ac:dyDescent="0.25">
      <c r="A129" s="612"/>
      <c r="B129" s="616"/>
      <c r="C129" s="439" t="s">
        <v>69</v>
      </c>
      <c r="D129" s="440"/>
      <c r="E129" s="440"/>
      <c r="F129" s="440"/>
      <c r="G129" s="458"/>
      <c r="H129" s="447"/>
      <c r="I129" s="460">
        <v>0</v>
      </c>
      <c r="J129" s="461">
        <v>0</v>
      </c>
      <c r="K129" s="443">
        <f>Engineering6881889295[[#This Row],[Column7]]-Engineering6881889295[[#This Row],[Column8]]</f>
        <v>0</v>
      </c>
      <c r="L129" s="444">
        <f>IFERROR(J129/I129,0)</f>
        <v>0</v>
      </c>
      <c r="M129" s="462">
        <v>0</v>
      </c>
      <c r="N129" s="461">
        <v>0</v>
      </c>
      <c r="O129" s="443">
        <f>Engineering6881889295[[#This Row],[Column11]]-Engineering6881889295[[#This Row],[Column12]]</f>
        <v>0</v>
      </c>
      <c r="P129" s="444">
        <f>IFERROR(N129/M129,0)</f>
        <v>0</v>
      </c>
      <c r="Q129" s="463">
        <v>0</v>
      </c>
      <c r="R129" s="464">
        <v>0</v>
      </c>
      <c r="S129" s="446">
        <f>Engineering6881889295[[#This Row],[Column15]]-Engineering6881889295[[#This Row],[Column16]]</f>
        <v>0</v>
      </c>
      <c r="T129" s="444">
        <f t="shared" si="26"/>
        <v>0</v>
      </c>
      <c r="U129" s="447"/>
      <c r="V129" s="447"/>
    </row>
    <row r="130" spans="1:22" s="1" customFormat="1" ht="22" thickTop="1" thickBot="1" x14ac:dyDescent="0.25">
      <c r="A130" s="420"/>
      <c r="B130" s="411" t="s">
        <v>70</v>
      </c>
      <c r="C130" s="412"/>
      <c r="D130" s="413"/>
      <c r="E130" s="413"/>
      <c r="F130" s="413"/>
      <c r="G130" s="413"/>
      <c r="H130" s="413"/>
      <c r="I130" s="414">
        <f>SUBTOTAL(109,Engineering6881889295[Column7])</f>
        <v>0</v>
      </c>
      <c r="J130" s="413">
        <f>SUBTOTAL(109,Engineering6881889295[Column8])</f>
        <v>0</v>
      </c>
      <c r="K130" s="413">
        <f>SUBTOTAL(109,Engineering6881889295[Column9])</f>
        <v>0</v>
      </c>
      <c r="L130" s="415">
        <f>IFERROR(J130/I130,0)</f>
        <v>0</v>
      </c>
      <c r="M130" s="414">
        <f>SUBTOTAL(109,Engineering6881889295[Column11])</f>
        <v>0</v>
      </c>
      <c r="N130" s="413">
        <f>SUBTOTAL(109,Engineering6881889295[Column12])</f>
        <v>0</v>
      </c>
      <c r="O130" s="413">
        <f>SUBTOTAL(109,Engineering6881889295[Column13])</f>
        <v>0</v>
      </c>
      <c r="P130" s="415">
        <f>IFERROR(N130/M130,0)</f>
        <v>0</v>
      </c>
      <c r="Q130" s="416">
        <f>SUBTOTAL(109,Engineering6881889295[Column15])</f>
        <v>0</v>
      </c>
      <c r="R130" s="417">
        <f>SUBTOTAL(109,Engineering6881889295[Column16])</f>
        <v>0</v>
      </c>
      <c r="S130" s="418">
        <f>SUBTOTAL(109,Engineering6881889295[Column17])</f>
        <v>0</v>
      </c>
      <c r="T130" s="422">
        <f t="shared" si="26"/>
        <v>0</v>
      </c>
      <c r="U130" s="413"/>
      <c r="V130" s="413"/>
    </row>
    <row r="131" spans="1:22" ht="18" thickBot="1" x14ac:dyDescent="0.25">
      <c r="V131" s="2"/>
    </row>
    <row r="132" spans="1:22" ht="72" thickBot="1" x14ac:dyDescent="0.25">
      <c r="A132" s="610">
        <v>18</v>
      </c>
      <c r="B132" s="614" t="s">
        <v>38</v>
      </c>
      <c r="C132" s="439" t="s">
        <v>69</v>
      </c>
      <c r="D132" s="440"/>
      <c r="E132" s="440"/>
      <c r="F132" s="440"/>
      <c r="G132" s="452"/>
      <c r="H132" s="453"/>
      <c r="I132" s="460">
        <v>0</v>
      </c>
      <c r="J132" s="461">
        <v>0</v>
      </c>
      <c r="K132" s="443">
        <f>Engineering6881889296[[#This Row],[Column7]]-Engineering6881889296[[#This Row],[Column8]]</f>
        <v>0</v>
      </c>
      <c r="L132" s="444">
        <f>IFERROR(J132/I132,0)</f>
        <v>0</v>
      </c>
      <c r="M132" s="462">
        <v>0</v>
      </c>
      <c r="N132" s="462">
        <v>0</v>
      </c>
      <c r="O132" s="443">
        <f>Engineering6881889296[[#This Row],[Column11]]-Engineering6881889296[[#This Row],[Column12]]</f>
        <v>0</v>
      </c>
      <c r="P132" s="444">
        <f>IFERROR(N132/M132,0)</f>
        <v>0</v>
      </c>
      <c r="Q132" s="463">
        <v>0</v>
      </c>
      <c r="R132" s="464">
        <v>0</v>
      </c>
      <c r="S132" s="446">
        <f>Engineering6881889296[[#This Row],[Column15]]-Engineering6881889296[[#This Row],[Column16]]</f>
        <v>0</v>
      </c>
      <c r="T132" s="444">
        <f t="shared" ref="T132:T137" si="27">IFERROR(R132/Q132,0)</f>
        <v>0</v>
      </c>
      <c r="U132" s="458"/>
      <c r="V132" s="447"/>
    </row>
    <row r="133" spans="1:22" ht="72" thickBot="1" x14ac:dyDescent="0.25">
      <c r="A133" s="611"/>
      <c r="B133" s="615"/>
      <c r="C133" s="439" t="s">
        <v>69</v>
      </c>
      <c r="D133" s="440"/>
      <c r="E133" s="440"/>
      <c r="F133" s="440"/>
      <c r="G133" s="458"/>
      <c r="H133" s="447"/>
      <c r="I133" s="460">
        <v>0</v>
      </c>
      <c r="J133" s="461">
        <v>0</v>
      </c>
      <c r="K133" s="443">
        <f>Engineering6881889296[[#This Row],[Column7]]-Engineering6881889296[[#This Row],[Column8]]</f>
        <v>0</v>
      </c>
      <c r="L133" s="444">
        <f>IFERROR(J135/I135,0)</f>
        <v>0</v>
      </c>
      <c r="M133" s="462">
        <v>0</v>
      </c>
      <c r="N133" s="462">
        <v>0</v>
      </c>
      <c r="O133" s="443">
        <f>Engineering6881889296[[#This Row],[Column11]]-Engineering6881889296[[#This Row],[Column12]]</f>
        <v>0</v>
      </c>
      <c r="P133" s="444">
        <f>IFERROR(N135/M135,0)</f>
        <v>0</v>
      </c>
      <c r="Q133" s="463">
        <v>0</v>
      </c>
      <c r="R133" s="464">
        <v>0</v>
      </c>
      <c r="S133" s="446">
        <f>Engineering6881889296[[#This Row],[Column15]]-Engineering6881889296[[#This Row],[Column16]]</f>
        <v>0</v>
      </c>
      <c r="T133" s="444">
        <f t="shared" si="27"/>
        <v>0</v>
      </c>
      <c r="U133" s="458"/>
      <c r="V133" s="447"/>
    </row>
    <row r="134" spans="1:22" ht="72" thickBot="1" x14ac:dyDescent="0.25">
      <c r="A134" s="611"/>
      <c r="B134" s="615"/>
      <c r="C134" s="439" t="s">
        <v>69</v>
      </c>
      <c r="D134" s="440"/>
      <c r="E134" s="440"/>
      <c r="F134" s="440"/>
      <c r="G134" s="458"/>
      <c r="H134" s="447"/>
      <c r="I134" s="460">
        <v>0</v>
      </c>
      <c r="J134" s="461">
        <v>0</v>
      </c>
      <c r="K134" s="443">
        <f>Engineering6881889296[[#This Row],[Column7]]-Engineering6881889296[[#This Row],[Column8]]</f>
        <v>0</v>
      </c>
      <c r="L134" s="444">
        <f>IFERROR(J134/I134,0)</f>
        <v>0</v>
      </c>
      <c r="M134" s="462">
        <v>0</v>
      </c>
      <c r="N134" s="462">
        <v>0</v>
      </c>
      <c r="O134" s="443">
        <f>Engineering6881889296[[#This Row],[Column11]]-Engineering6881889296[[#This Row],[Column12]]</f>
        <v>0</v>
      </c>
      <c r="P134" s="444">
        <f>IFERROR(N134/M134,0)</f>
        <v>0</v>
      </c>
      <c r="Q134" s="463">
        <v>0</v>
      </c>
      <c r="R134" s="464">
        <v>0</v>
      </c>
      <c r="S134" s="446">
        <f>Engineering6881889296[[#This Row],[Column15]]-Engineering6881889296[[#This Row],[Column16]]</f>
        <v>0</v>
      </c>
      <c r="T134" s="444">
        <f t="shared" si="27"/>
        <v>0</v>
      </c>
      <c r="U134" s="458"/>
      <c r="V134" s="447"/>
    </row>
    <row r="135" spans="1:22" ht="72" thickBot="1" x14ac:dyDescent="0.25">
      <c r="A135" s="611"/>
      <c r="B135" s="615"/>
      <c r="C135" s="439" t="s">
        <v>69</v>
      </c>
      <c r="D135" s="440"/>
      <c r="E135" s="440"/>
      <c r="F135" s="440"/>
      <c r="G135" s="458"/>
      <c r="H135" s="447"/>
      <c r="I135" s="460">
        <v>0</v>
      </c>
      <c r="J135" s="461">
        <v>0</v>
      </c>
      <c r="K135" s="443">
        <f>Engineering6881889296[[#This Row],[Column7]]-Engineering6881889296[[#This Row],[Column8]]</f>
        <v>0</v>
      </c>
      <c r="L135" s="444">
        <f>IFERROR(J135/I135,0)</f>
        <v>0</v>
      </c>
      <c r="M135" s="462">
        <v>0</v>
      </c>
      <c r="N135" s="462">
        <v>0</v>
      </c>
      <c r="O135" s="443">
        <f>Engineering6881889296[[#This Row],[Column11]]-Engineering6881889296[[#This Row],[Column12]]</f>
        <v>0</v>
      </c>
      <c r="P135" s="444">
        <f>IFERROR(N135/M135,0)</f>
        <v>0</v>
      </c>
      <c r="Q135" s="463">
        <v>0</v>
      </c>
      <c r="R135" s="464">
        <v>0</v>
      </c>
      <c r="S135" s="446">
        <f>Engineering6881889296[[#This Row],[Column15]]-Engineering6881889296[[#This Row],[Column16]]</f>
        <v>0</v>
      </c>
      <c r="T135" s="444">
        <f t="shared" si="27"/>
        <v>0</v>
      </c>
      <c r="U135" s="458"/>
      <c r="V135" s="447"/>
    </row>
    <row r="136" spans="1:22" ht="72" thickBot="1" x14ac:dyDescent="0.25">
      <c r="A136" s="612"/>
      <c r="B136" s="616"/>
      <c r="C136" s="439" t="s">
        <v>69</v>
      </c>
      <c r="D136" s="440"/>
      <c r="E136" s="440"/>
      <c r="F136" s="440"/>
      <c r="G136" s="458"/>
      <c r="H136" s="447"/>
      <c r="I136" s="460">
        <v>0</v>
      </c>
      <c r="J136" s="461">
        <v>0</v>
      </c>
      <c r="K136" s="443">
        <f>Engineering6881889296[[#This Row],[Column7]]-Engineering6881889296[[#This Row],[Column8]]</f>
        <v>0</v>
      </c>
      <c r="L136" s="444">
        <f>IFERROR(J136/I136,0)</f>
        <v>0</v>
      </c>
      <c r="M136" s="462">
        <v>0</v>
      </c>
      <c r="N136" s="462">
        <v>0</v>
      </c>
      <c r="O136" s="443">
        <f>Engineering6881889296[[#This Row],[Column11]]-Engineering6881889296[[#This Row],[Column12]]</f>
        <v>0</v>
      </c>
      <c r="P136" s="444">
        <f>IFERROR(N136/M136,0)</f>
        <v>0</v>
      </c>
      <c r="Q136" s="463">
        <v>0</v>
      </c>
      <c r="R136" s="464">
        <v>0</v>
      </c>
      <c r="S136" s="446">
        <f>Engineering6881889296[[#This Row],[Column15]]-Engineering6881889296[[#This Row],[Column16]]</f>
        <v>0</v>
      </c>
      <c r="T136" s="444">
        <f t="shared" si="27"/>
        <v>0</v>
      </c>
      <c r="U136" s="447"/>
      <c r="V136" s="447"/>
    </row>
    <row r="137" spans="1:22" s="1" customFormat="1" ht="22" thickTop="1" thickBot="1" x14ac:dyDescent="0.25">
      <c r="A137" s="420"/>
      <c r="B137" s="411" t="s">
        <v>70</v>
      </c>
      <c r="C137" s="412"/>
      <c r="D137" s="413"/>
      <c r="E137" s="413"/>
      <c r="F137" s="413"/>
      <c r="G137" s="413"/>
      <c r="H137" s="413"/>
      <c r="I137" s="414">
        <f>SUBTOTAL(109,Engineering6881889296[Column7])</f>
        <v>0</v>
      </c>
      <c r="J137" s="413">
        <f>SUBTOTAL(109,Engineering6881889296[Column8])</f>
        <v>0</v>
      </c>
      <c r="K137" s="413">
        <f>SUBTOTAL(109,Engineering6881889296[Column9])</f>
        <v>0</v>
      </c>
      <c r="L137" s="415">
        <f>IFERROR(J137/I137,0)</f>
        <v>0</v>
      </c>
      <c r="M137" s="414">
        <f>SUBTOTAL(109,Engineering6881889296[Column11])</f>
        <v>0</v>
      </c>
      <c r="N137" s="413">
        <f>SUBTOTAL(109,Engineering6881889296[Column12])</f>
        <v>0</v>
      </c>
      <c r="O137" s="413">
        <f>SUBTOTAL(109,Engineering6881889296[Column13])</f>
        <v>0</v>
      </c>
      <c r="P137" s="415">
        <f>IFERROR(N137/M137,0)</f>
        <v>0</v>
      </c>
      <c r="Q137" s="416">
        <f>SUBTOTAL(109,Engineering6881889296[Column15])</f>
        <v>0</v>
      </c>
      <c r="R137" s="417">
        <f>SUBTOTAL(109,Engineering6881889296[Column16])</f>
        <v>0</v>
      </c>
      <c r="S137" s="418">
        <f>SUBTOTAL(109,Engineering6881889296[Column17])</f>
        <v>0</v>
      </c>
      <c r="T137" s="422">
        <f t="shared" si="27"/>
        <v>0</v>
      </c>
      <c r="U137" s="413"/>
      <c r="V137" s="413"/>
    </row>
    <row r="138" spans="1:22" x14ac:dyDescent="0.2">
      <c r="V138" s="2"/>
    </row>
    <row r="139" spans="1:22" ht="18" thickBot="1" x14ac:dyDescent="0.25">
      <c r="V139" s="2"/>
    </row>
    <row r="140" spans="1:22" s="1" customFormat="1" ht="42.75" customHeight="1" thickBot="1" x14ac:dyDescent="0.25">
      <c r="A140" s="218"/>
      <c r="B140" s="424" t="s">
        <v>71</v>
      </c>
      <c r="C140" s="425"/>
      <c r="D140" s="426"/>
      <c r="E140" s="426"/>
      <c r="F140" s="426"/>
      <c r="G140" s="426"/>
      <c r="H140" s="426"/>
      <c r="I140" s="427">
        <f>J140+K140</f>
        <v>0</v>
      </c>
      <c r="J140" s="428">
        <f>Engineering[[#Totals],[Column8]]+Engineering68[[#Totals],[Column8]]+Engineering6880[[#Totals],[Column8]]+Engineering6881[[#Totals],[Column8]]+Engineering688182[[#Totals],[Column8]]+Engineering688183[[#Totals],[Column8]]+Engineering688184[[#Totals],[Column8]]+Engineering688185[[#Totals],[Column8]]+Engineering688186[[#Totals],[Column8]]+Engineering688187[[#Totals],[Column8]]+Engineering688188[[#Totals],[Column8]]+Engineering68818889[[#Totals],[Column8]]+Engineering68818890[[#Totals],[Column8]]+Engineering68818891[[#Totals],[Column8]]+Engineering68818892[[#Totals],[Column8]]+Engineering6881889293[[#Totals],[Column8]]+Engineering6881889295[[#Totals],[Column8]]+Engineering6881889296[[#Totals],[Column8]]</f>
        <v>0</v>
      </c>
      <c r="K140" s="428">
        <f>Engineering[[#Totals],[Column9]]+Engineering68[[#Totals],[Column9]]+Engineering6880[[#Totals],[Column9]]+Engineering6881[[#Totals],[Column9]]+Engineering688182[[#Totals],[Column9]]+Engineering688183[[#Totals],[Column9]]+Engineering688184[[#Totals],[Column9]]+Engineering688185[[#Totals],[Column9]]+Engineering688186[[#Totals],[Column9]]+Engineering688187[[#Totals],[Column9]]+Engineering688188[[#Totals],[Column9]]+Engineering68818889[[#Totals],[Column9]]+Engineering68818890[[#Totals],[Column9]]+Engineering68818891[[#Totals],[Column9]]+Engineering68818892[[#Totals],[Column9]]+Engineering6881889293[[#Totals],[Column9]]+Engineering6881889295[[#Totals],[Column9]]+Engineering6881889296[[#Totals],[Column9]]</f>
        <v>0</v>
      </c>
      <c r="L140" s="429">
        <f>IFERROR(J140/I140,0)</f>
        <v>0</v>
      </c>
      <c r="M140" s="427">
        <f>N140+O140</f>
        <v>0</v>
      </c>
      <c r="N140" s="428">
        <f>Engineering[[#Totals],[Column12]]+Engineering68[[#Totals],[Column12]]+Engineering6880[[#Totals],[Column12]]+Engineering6881[[#Totals],[Column12]]+Engineering688182[[#Totals],[Column12]]+Engineering688183[[#Totals],[Column12]]+Engineering688184[[#Totals],[Column12]]+Engineering688185[[#Totals],[Column12]]+Engineering688186[[#Totals],[Column12]]+Engineering688187[[#Totals],[Column12]]+Engineering688188[[#Totals],[Column12]]+Engineering68818889[[#Totals],[Column12]]+Engineering68818890[[#Totals],[Column12]]+Engineering68818891[[#Totals],[Column12]]+Engineering68818892[[#Totals],[Column12]]+Engineering6881889293[[#Totals],[Column12]]+Engineering6881889295[[#Totals],[Column12]]+Engineering6881889296[[#Totals],[Column12]]</f>
        <v>0</v>
      </c>
      <c r="O140" s="428">
        <f>Engineering[[#Totals],[Column13]]+Engineering68[[#Totals],[Column13]]+Engineering6880[[#Totals],[Column13]]+Engineering6881[[#Totals],[Column13]]+Engineering688182[[#Totals],[Column13]]+Engineering688183[[#Totals],[Column13]]+Engineering688184[[#Totals],[Column13]]+Engineering688185[[#Totals],[Column13]]+Engineering688186[[#Totals],[Column13]]+Engineering688187[[#Totals],[Column13]]+Engineering688188[[#Totals],[Column13]]+Engineering68818889[[#Totals],[Column13]]+Engineering68818890[[#Totals],[Column13]]+Engineering68818891[[#Totals],[Column13]]+Engineering68818892[[#Totals],[Column13]]+Engineering6881889293[[#Totals],[Column13]]+Engineering6881889295[[#Totals],[Column13]]+Engineering6881889296[[#Totals],[Column13]]</f>
        <v>0</v>
      </c>
      <c r="P140" s="430">
        <f>IFERROR(N140/M140,0)</f>
        <v>0</v>
      </c>
      <c r="Q140" s="431">
        <f>R140+S140</f>
        <v>0</v>
      </c>
      <c r="R140" s="432">
        <f>Engineering[[#Totals],[Column16]]+Engineering68[[#Totals],[Column16]]+Engineering6880[[#Totals],[Column16]]+Engineering6881[[#Totals],[Column16]]+Engineering688182[[#Totals],[Column16]]+Engineering688183[[#Totals],[Column16]]+Engineering688184[[#Totals],[Column16]]+Engineering688185[[#Totals],[Column16]]+Engineering688186[[#Totals],[Column16]]+Engineering688187[[#Totals],[Column16]]+Engineering688188[[#Totals],[Column16]]+Engineering68818889[[#Totals],[Column16]]+Engineering68818890[[#Totals],[Column16]]+Engineering68818891[[#Totals],[Column16]]+Engineering68818892[[#Totals],[Column16]]+Engineering6881889293[[#Totals],[Column16]]+Engineering6881889295[[#Totals],[Column16]]+Engineering6881889296[[#Totals],[Column16]]</f>
        <v>0</v>
      </c>
      <c r="S140" s="432">
        <f>Engineering[[#Totals],[Column17]]+Engineering68[[#Totals],[Column17]]+Engineering6880[[#Totals],[Column17]]+Engineering6881[[#Totals],[Column17]]+Engineering688182[[#Totals],[Column17]]+Engineering688183[[#Totals],[Column17]]+Engineering688184[[#Totals],[Column17]]+Engineering688185[[#Totals],[Column17]]+Engineering688186[[#Totals],[Column17]]+Engineering688187[[#Totals],[Column17]]+Engineering688188[[#Totals],[Column17]]+Engineering68818889[[#Totals],[Column17]]+Engineering68818890[[#Totals],[Column17]]+Engineering68818891[[#Totals],[Column17]]+Engineering68818892[[#Totals],[Column17]]+Engineering6881889293[[#Totals],[Column17]]+Engineering6881889295[[#Totals],[Column17]]+Engineering6881889296[[#Totals],[Column17]]</f>
        <v>0</v>
      </c>
      <c r="T140" s="433">
        <f>IFERROR(R140/Q140,0)</f>
        <v>0</v>
      </c>
      <c r="U140" s="426"/>
      <c r="V140" s="426"/>
    </row>
  </sheetData>
  <sheetProtection formatCells="0" formatRows="0" insertRows="0" deleteRows="0" sort="0" autoFilter="0" pivotTables="0"/>
  <mergeCells count="45">
    <mergeCell ref="A125:A129"/>
    <mergeCell ref="B125:B129"/>
    <mergeCell ref="A132:A136"/>
    <mergeCell ref="B132:B136"/>
    <mergeCell ref="A103:A108"/>
    <mergeCell ref="B103:B108"/>
    <mergeCell ref="A111:A115"/>
    <mergeCell ref="B111:B115"/>
    <mergeCell ref="A118:A122"/>
    <mergeCell ref="B118:B122"/>
    <mergeCell ref="A82:A86"/>
    <mergeCell ref="B82:B86"/>
    <mergeCell ref="A89:A93"/>
    <mergeCell ref="B89:B93"/>
    <mergeCell ref="A96:A100"/>
    <mergeCell ref="B96:B100"/>
    <mergeCell ref="A61:A65"/>
    <mergeCell ref="B61:B65"/>
    <mergeCell ref="A68:A72"/>
    <mergeCell ref="B68:B72"/>
    <mergeCell ref="A75:A79"/>
    <mergeCell ref="B75:B79"/>
    <mergeCell ref="A40:A44"/>
    <mergeCell ref="B40:B44"/>
    <mergeCell ref="A47:A51"/>
    <mergeCell ref="B47:B51"/>
    <mergeCell ref="A54:A58"/>
    <mergeCell ref="B54:B58"/>
    <mergeCell ref="A19:A23"/>
    <mergeCell ref="B19:B23"/>
    <mergeCell ref="A26:A30"/>
    <mergeCell ref="B26:B30"/>
    <mergeCell ref="A33:A37"/>
    <mergeCell ref="B33:B37"/>
    <mergeCell ref="M10:P10"/>
    <mergeCell ref="Q10:T10"/>
    <mergeCell ref="A9:V9"/>
    <mergeCell ref="U10:V10"/>
    <mergeCell ref="A12:A16"/>
    <mergeCell ref="B12:B16"/>
    <mergeCell ref="A10:A11"/>
    <mergeCell ref="B10:B11"/>
    <mergeCell ref="C10:C11"/>
    <mergeCell ref="D10:F10"/>
    <mergeCell ref="I10:L10"/>
  </mergeCells>
  <dataValidations count="2">
    <dataValidation allowBlank="1" showInputMessage="1" showErrorMessage="1" prompt="Please fill in this cell with text" sqref="C132:F136 C19:F23 C26:F30 C33:F37 C40:F44 C47:F51 C68:F72 C61:F65 C75:F79 C82:F86 C89:F93 C96:F100 C111:F115 C103:F108 C118:F122 C125:F129 C54:F58 C12:F16" xr:uid="{C862AB54-D609-48E1-BA52-E6A879B0E3FF}"/>
    <dataValidation type="custom" allowBlank="1" showInputMessage="1" showErrorMessage="1" errorTitle="NOTICE!" error="Please don’t input any value, there's formula." promptTitle="NOTICE!" prompt="Please don’t input any value, there's formula." sqref="K19:L23 T12:T16 S19:T23 K26:L30 S26:T30 K33:L37 S33:T37 O40:P44 S40:S44 K47:L51 O47:P51 K54:L58 O54:P58 K61:L65 O61:P65 K68:L72 O68:P72 K75:L79 O75:P79 K82:L86 O82:P86 K89:L93 O89:P93 K96:L100 O96:P100 K103:L108 O103:P108 K111:L115 O111:P115 K118:L122 O118:P122 K125:L129 O125:P129 K132:L136 O132:P136 K12:L16 O12:P16 S125:T129 S118:T122 S111:T115 S103:T108 S96:T100 S89:T93 S82:T86 S75:T79 S68:T72 S61:T65 S54:T58 S47:T51 O33:P37 O26:P30 O19:P23 S132:T136 K40:L44" xr:uid="{5AAD758A-BF3B-41D7-800A-6FF2A60367B7}">
      <formula1>"Please don’t input any value, there's formula."</formula1>
    </dataValidation>
  </dataValidations>
  <pageMargins left="0.7" right="0.7" top="0.75" bottom="0.75" header="0.3" footer="0.3"/>
  <pageSetup orientation="portrait" horizontalDpi="4294967295" verticalDpi="4294967295" r:id="rId1"/>
  <drawing r:id="rId2"/>
  <tableParts count="18">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E3A7C-7418-4245-BBDE-848AD7A8CEE1}">
  <dimension ref="A1:AI14"/>
  <sheetViews>
    <sheetView view="pageBreakPreview" topLeftCell="G6" zoomScale="40" zoomScaleNormal="55" zoomScaleSheetLayoutView="40" workbookViewId="0">
      <selection activeCell="M30" sqref="M30"/>
    </sheetView>
  </sheetViews>
  <sheetFormatPr baseColWidth="10" defaultColWidth="8.6640625" defaultRowHeight="17" x14ac:dyDescent="0.2"/>
  <cols>
    <col min="1" max="1" width="13.5" style="2" customWidth="1"/>
    <col min="2" max="2" width="32.33203125" style="2" customWidth="1"/>
    <col min="3" max="3" width="33.5" style="2" customWidth="1"/>
    <col min="4" max="4" width="29.5" style="2" customWidth="1"/>
    <col min="5" max="6" width="27.33203125" style="2" customWidth="1"/>
    <col min="7" max="8" width="36.1640625" style="2" customWidth="1"/>
    <col min="9" max="12" width="14.5" style="2" customWidth="1"/>
    <col min="13" max="21" width="14.83203125" style="2" customWidth="1"/>
    <col min="22" max="22" width="20.33203125" style="2" customWidth="1"/>
    <col min="23" max="25" width="14.83203125" style="2" customWidth="1"/>
    <col min="26" max="28" width="15.1640625" style="2" customWidth="1"/>
    <col min="29" max="29" width="14.83203125" style="2" customWidth="1"/>
    <col min="30" max="30" width="33.5" style="2" customWidth="1"/>
    <col min="31" max="33" width="21" style="2" customWidth="1"/>
    <col min="34" max="34" width="27" style="2" customWidth="1"/>
    <col min="35" max="35" width="14.83203125" style="2" customWidth="1"/>
    <col min="36" max="16384" width="8.6640625" style="102"/>
  </cols>
  <sheetData>
    <row r="1" spans="1:35" ht="18" hidden="1" thickBot="1" x14ac:dyDescent="0.25">
      <c r="B1" s="3" t="s">
        <v>123</v>
      </c>
    </row>
    <row r="2" spans="1:35" hidden="1" x14ac:dyDescent="0.2">
      <c r="B2" s="26" t="s">
        <v>40</v>
      </c>
      <c r="C2" s="238">
        <f>'#1'!C2</f>
        <v>0</v>
      </c>
      <c r="D2" s="25" t="s">
        <v>41</v>
      </c>
      <c r="E2" s="239">
        <f>'#2'!E2</f>
        <v>0</v>
      </c>
      <c r="F2" s="105"/>
    </row>
    <row r="3" spans="1:35" hidden="1" x14ac:dyDescent="0.2">
      <c r="B3" s="106" t="s">
        <v>42</v>
      </c>
      <c r="C3" s="240">
        <f>'#1'!C3</f>
        <v>0</v>
      </c>
      <c r="D3" s="105" t="s">
        <v>43</v>
      </c>
      <c r="E3" s="241">
        <f>'#2'!E3</f>
        <v>0</v>
      </c>
      <c r="F3" s="105"/>
    </row>
    <row r="4" spans="1:35" ht="35" hidden="1" thickBot="1" x14ac:dyDescent="0.25">
      <c r="B4" s="13" t="s">
        <v>44</v>
      </c>
      <c r="C4" s="108">
        <f>'#1'!C4</f>
        <v>0</v>
      </c>
      <c r="D4" s="109" t="s">
        <v>45</v>
      </c>
      <c r="E4" s="242">
        <f>'#2'!E4</f>
        <v>0</v>
      </c>
      <c r="F4" s="15"/>
    </row>
    <row r="5" spans="1:35" ht="18" hidden="1" thickBot="1" x14ac:dyDescent="0.25"/>
    <row r="6" spans="1:35" s="2" customFormat="1" ht="83.5" customHeight="1" thickBot="1" x14ac:dyDescent="0.25">
      <c r="A6" s="525" t="s">
        <v>140</v>
      </c>
      <c r="B6" s="522"/>
      <c r="C6" s="522"/>
      <c r="D6" s="522"/>
      <c r="E6" s="522"/>
      <c r="F6" s="522"/>
      <c r="G6" s="522"/>
      <c r="H6" s="522"/>
      <c r="I6" s="522"/>
      <c r="J6" s="522"/>
      <c r="K6" s="522"/>
      <c r="L6" s="522"/>
      <c r="M6" s="522"/>
      <c r="N6" s="522"/>
      <c r="O6" s="522"/>
      <c r="P6" s="522"/>
      <c r="Q6" s="522"/>
      <c r="R6" s="522"/>
      <c r="S6" s="522"/>
      <c r="T6" s="522"/>
      <c r="U6" s="522"/>
      <c r="V6" s="522"/>
      <c r="W6" s="522"/>
      <c r="X6" s="522"/>
      <c r="Y6" s="522"/>
      <c r="Z6" s="522"/>
      <c r="AA6" s="522"/>
      <c r="AB6" s="522"/>
      <c r="AC6" s="522"/>
      <c r="AD6" s="522"/>
      <c r="AE6" s="522"/>
      <c r="AF6" s="522"/>
      <c r="AG6" s="522"/>
      <c r="AH6" s="522"/>
      <c r="AI6" s="523"/>
    </row>
    <row r="7" spans="1:35" s="2" customFormat="1" ht="83.5" customHeight="1" thickBot="1" x14ac:dyDescent="0.25">
      <c r="A7" s="623" t="s">
        <v>50</v>
      </c>
      <c r="B7" s="625" t="s">
        <v>116</v>
      </c>
      <c r="C7" s="627" t="s">
        <v>52</v>
      </c>
      <c r="D7" s="629" t="s">
        <v>53</v>
      </c>
      <c r="E7" s="630"/>
      <c r="F7" s="631"/>
      <c r="G7" s="632" t="s">
        <v>80</v>
      </c>
      <c r="H7" s="664" t="s">
        <v>81</v>
      </c>
      <c r="I7" s="668" t="s">
        <v>129</v>
      </c>
      <c r="J7" s="666"/>
      <c r="K7" s="666"/>
      <c r="L7" s="667"/>
      <c r="M7" s="511" t="s">
        <v>108</v>
      </c>
      <c r="N7" s="512"/>
      <c r="O7" s="512"/>
      <c r="P7" s="513"/>
      <c r="Q7" s="500" t="s">
        <v>150</v>
      </c>
      <c r="R7" s="668" t="s">
        <v>109</v>
      </c>
      <c r="S7" s="666"/>
      <c r="T7" s="666"/>
      <c r="U7" s="667"/>
      <c r="V7" s="629" t="s">
        <v>110</v>
      </c>
      <c r="W7" s="630"/>
      <c r="X7" s="630"/>
      <c r="Y7" s="631"/>
      <c r="Z7" s="636" t="s">
        <v>57</v>
      </c>
      <c r="AA7" s="637"/>
      <c r="AB7" s="637"/>
      <c r="AC7" s="638"/>
      <c r="AD7" s="661" t="s">
        <v>119</v>
      </c>
      <c r="AE7" s="662"/>
      <c r="AF7" s="662"/>
      <c r="AG7" s="663"/>
      <c r="AH7" s="314" t="s">
        <v>151</v>
      </c>
      <c r="AI7" s="315" t="s">
        <v>120</v>
      </c>
    </row>
    <row r="8" spans="1:35" s="2" customFormat="1" ht="83.5" customHeight="1" thickBot="1" x14ac:dyDescent="0.25">
      <c r="A8" s="624"/>
      <c r="B8" s="626"/>
      <c r="C8" s="628"/>
      <c r="D8" s="201" t="s">
        <v>59</v>
      </c>
      <c r="E8" s="202" t="s">
        <v>86</v>
      </c>
      <c r="F8" s="203" t="s">
        <v>87</v>
      </c>
      <c r="G8" s="633"/>
      <c r="H8" s="665"/>
      <c r="I8" s="199" t="s">
        <v>64</v>
      </c>
      <c r="J8" s="204" t="s">
        <v>88</v>
      </c>
      <c r="K8" s="204" t="s">
        <v>89</v>
      </c>
      <c r="L8" s="200" t="s">
        <v>47</v>
      </c>
      <c r="M8" s="199" t="s">
        <v>64</v>
      </c>
      <c r="N8" s="204" t="s">
        <v>88</v>
      </c>
      <c r="O8" s="204" t="s">
        <v>89</v>
      </c>
      <c r="P8" s="200" t="s">
        <v>47</v>
      </c>
      <c r="Q8" s="204" t="s">
        <v>96</v>
      </c>
      <c r="R8" s="199" t="s">
        <v>64</v>
      </c>
      <c r="S8" s="204" t="s">
        <v>88</v>
      </c>
      <c r="T8" s="204" t="s">
        <v>89</v>
      </c>
      <c r="U8" s="200" t="s">
        <v>47</v>
      </c>
      <c r="V8" s="199" t="s">
        <v>64</v>
      </c>
      <c r="W8" s="204" t="s">
        <v>88</v>
      </c>
      <c r="X8" s="204" t="s">
        <v>89</v>
      </c>
      <c r="Y8" s="200" t="s">
        <v>47</v>
      </c>
      <c r="Z8" s="199" t="s">
        <v>90</v>
      </c>
      <c r="AA8" s="204" t="s">
        <v>91</v>
      </c>
      <c r="AB8" s="204" t="s">
        <v>92</v>
      </c>
      <c r="AC8" s="200" t="s">
        <v>47</v>
      </c>
      <c r="AD8" s="199" t="s">
        <v>90</v>
      </c>
      <c r="AE8" s="205" t="s">
        <v>93</v>
      </c>
      <c r="AF8" s="204" t="s">
        <v>94</v>
      </c>
      <c r="AG8" s="204" t="s">
        <v>95</v>
      </c>
      <c r="AH8" s="204" t="s">
        <v>96</v>
      </c>
      <c r="AI8" s="200" t="s">
        <v>97</v>
      </c>
    </row>
    <row r="9" spans="1:35" ht="83.5" customHeight="1" x14ac:dyDescent="0.2">
      <c r="A9" s="246">
        <v>1</v>
      </c>
      <c r="B9" s="62"/>
      <c r="C9" s="111" t="s">
        <v>121</v>
      </c>
      <c r="D9" s="111"/>
      <c r="E9" s="111"/>
      <c r="F9" s="111"/>
      <c r="G9" s="112"/>
      <c r="H9" s="113"/>
      <c r="I9" s="317">
        <v>0</v>
      </c>
      <c r="J9" s="10">
        <v>0</v>
      </c>
      <c r="K9" s="318">
        <f>Surv[[#This Row],[Column7]]-Surv[[#This Row],[Column8]]</f>
        <v>0</v>
      </c>
      <c r="L9" s="319">
        <f>IFERROR(Surv[[#This Row],[Column8]]/Surv[[#This Row],[Column7]],0)</f>
        <v>0</v>
      </c>
      <c r="M9" s="317">
        <v>0</v>
      </c>
      <c r="N9" s="10">
        <v>0</v>
      </c>
      <c r="O9" s="318">
        <f>Surv[[#This Row],[Column10]]-Surv[[#This Row],[Column11]]</f>
        <v>0</v>
      </c>
      <c r="P9" s="319">
        <f>IFERROR(N9/M9,0)</f>
        <v>0</v>
      </c>
      <c r="Q9" s="319">
        <f>IFERROR(Surv[[#This Row],[Column10]]/Surv[[#This Row],[Column7]],0)</f>
        <v>0</v>
      </c>
      <c r="R9" s="317">
        <v>0</v>
      </c>
      <c r="S9" s="10">
        <v>0</v>
      </c>
      <c r="T9" s="318">
        <f>Surv[[#This Row],[Column23]]-Surv[[#This Row],[Column27]]</f>
        <v>0</v>
      </c>
      <c r="U9" s="319">
        <f>IFERROR(Surv[[#This Row],[Column27]]/Surv[[#This Row],[Column23]],0)</f>
        <v>0</v>
      </c>
      <c r="V9" s="317">
        <v>0</v>
      </c>
      <c r="W9" s="10">
        <v>0</v>
      </c>
      <c r="X9" s="318">
        <f>Surv[[#This Row],[Column15]]-Surv[[#This Row],[Column16]]</f>
        <v>0</v>
      </c>
      <c r="Y9" s="319">
        <f>IFERROR(W9/V9,0)</f>
        <v>0</v>
      </c>
      <c r="Z9" s="320">
        <v>0</v>
      </c>
      <c r="AA9" s="34">
        <v>0</v>
      </c>
      <c r="AB9" s="321">
        <f>Surv[[#This Row],[Column19]]-Surv[[#This Row],[Column20]]</f>
        <v>0</v>
      </c>
      <c r="AC9" s="322">
        <f>IFERROR(AA9/Z9,0)</f>
        <v>0</v>
      </c>
      <c r="AD9" s="323">
        <v>0</v>
      </c>
      <c r="AE9" s="324">
        <v>0</v>
      </c>
      <c r="AF9" s="321">
        <f>Surv[[#This Row],[Column24]]-Surv[[#This Row],[Column30]]</f>
        <v>0</v>
      </c>
      <c r="AG9" s="322">
        <f>IFERROR(Surv[[#This Row],[Column30]]/Surv[[#This Row],[Column24]],0)</f>
        <v>0</v>
      </c>
      <c r="AH9" s="35">
        <f>IFERROR(Surv[[#This Row],[Column24]]/Surv[[#This Row],[Column19]],0)</f>
        <v>0</v>
      </c>
      <c r="AI9" s="325"/>
    </row>
    <row r="10" spans="1:35" ht="83.5" customHeight="1" x14ac:dyDescent="0.2">
      <c r="A10" s="246">
        <v>2</v>
      </c>
      <c r="B10" s="62"/>
      <c r="C10" s="111" t="s">
        <v>121</v>
      </c>
      <c r="D10" s="111"/>
      <c r="E10" s="111"/>
      <c r="F10" s="111"/>
      <c r="G10" s="126"/>
      <c r="H10" s="127"/>
      <c r="I10" s="118">
        <v>0</v>
      </c>
      <c r="J10" s="119">
        <v>0</v>
      </c>
      <c r="K10" s="120">
        <f>Surv[[#This Row],[Column7]]-Surv[[#This Row],[Column8]]</f>
        <v>0</v>
      </c>
      <c r="L10" s="81">
        <f t="shared" ref="L10:L12" si="0">IFERROR(J10/I10,0)</f>
        <v>0</v>
      </c>
      <c r="M10" s="118">
        <v>0</v>
      </c>
      <c r="N10" s="119">
        <v>0</v>
      </c>
      <c r="O10" s="120">
        <f>Surv[[#This Row],[Column10]]-Surv[[#This Row],[Column11]]</f>
        <v>0</v>
      </c>
      <c r="P10" s="81">
        <f t="shared" ref="P10:P12" si="1">IFERROR(N10/M10,0)</f>
        <v>0</v>
      </c>
      <c r="Q10" s="81">
        <f>IFERROR(Surv[[#This Row],[Column10]]/Surv[[#This Row],[Column7]],0)</f>
        <v>0</v>
      </c>
      <c r="R10" s="118">
        <v>0</v>
      </c>
      <c r="S10" s="119">
        <v>0</v>
      </c>
      <c r="T10" s="120">
        <f>Surv[[#This Row],[Column23]]-Surv[[#This Row],[Column27]]</f>
        <v>0</v>
      </c>
      <c r="U10" s="81">
        <f>IFERROR(Surv[[#This Row],[Column27]]/Surv[[#This Row],[Column23]],0)</f>
        <v>0</v>
      </c>
      <c r="V10" s="118">
        <v>0</v>
      </c>
      <c r="W10" s="119">
        <v>0</v>
      </c>
      <c r="X10" s="120">
        <f>Surv[[#This Row],[Column15]]-Surv[[#This Row],[Column16]]</f>
        <v>0</v>
      </c>
      <c r="Y10" s="81">
        <f t="shared" ref="Y10:Y12" si="2">IFERROR(W10/V10,0)</f>
        <v>0</v>
      </c>
      <c r="Z10" s="121">
        <v>0</v>
      </c>
      <c r="AA10" s="122">
        <v>0</v>
      </c>
      <c r="AB10" s="123">
        <f>Surv[[#This Row],[Column19]]-Surv[[#This Row],[Column20]]</f>
        <v>0</v>
      </c>
      <c r="AC10" s="82">
        <f t="shared" ref="AC10:AC12" si="3">IFERROR(AA10/Z10,0)</f>
        <v>0</v>
      </c>
      <c r="AD10" s="124">
        <v>0</v>
      </c>
      <c r="AE10" s="125">
        <v>0</v>
      </c>
      <c r="AF10" s="123">
        <f>Surv[[#This Row],[Column24]]-Surv[[#This Row],[Column30]]</f>
        <v>0</v>
      </c>
      <c r="AG10" s="82">
        <f>IFERROR(Surv[[#This Row],[Column30]]/Surv[[#This Row],[Column24]],0)</f>
        <v>0</v>
      </c>
      <c r="AH10" s="6">
        <f>IFERROR(Surv[[#This Row],[Column24]]/Surv[[#This Row],[Column19]],0)</f>
        <v>0</v>
      </c>
      <c r="AI10" s="130"/>
    </row>
    <row r="11" spans="1:35" ht="83.5" customHeight="1" x14ac:dyDescent="0.2">
      <c r="A11" s="246">
        <v>3</v>
      </c>
      <c r="B11" s="62"/>
      <c r="C11" s="111" t="s">
        <v>121</v>
      </c>
      <c r="D11" s="111"/>
      <c r="E11" s="111"/>
      <c r="F11" s="111"/>
      <c r="G11" s="126"/>
      <c r="H11" s="127"/>
      <c r="I11" s="118">
        <v>0</v>
      </c>
      <c r="J11" s="119">
        <v>0</v>
      </c>
      <c r="K11" s="120">
        <f>Surv[[#This Row],[Column7]]-Surv[[#This Row],[Column8]]</f>
        <v>0</v>
      </c>
      <c r="L11" s="81">
        <f t="shared" si="0"/>
        <v>0</v>
      </c>
      <c r="M11" s="118">
        <v>0</v>
      </c>
      <c r="N11" s="119">
        <v>0</v>
      </c>
      <c r="O11" s="120">
        <f>Surv[[#This Row],[Column10]]-Surv[[#This Row],[Column11]]</f>
        <v>0</v>
      </c>
      <c r="P11" s="81">
        <f t="shared" si="1"/>
        <v>0</v>
      </c>
      <c r="Q11" s="81">
        <f>IFERROR(Surv[[#This Row],[Column10]]/Surv[[#This Row],[Column7]],0)</f>
        <v>0</v>
      </c>
      <c r="R11" s="118">
        <v>0</v>
      </c>
      <c r="S11" s="119">
        <v>0</v>
      </c>
      <c r="T11" s="120">
        <f>Surv[[#This Row],[Column23]]-Surv[[#This Row],[Column27]]</f>
        <v>0</v>
      </c>
      <c r="U11" s="81">
        <f>IFERROR(Surv[[#This Row],[Column27]]/Surv[[#This Row],[Column23]],0)</f>
        <v>0</v>
      </c>
      <c r="V11" s="118">
        <v>0</v>
      </c>
      <c r="W11" s="119">
        <v>0</v>
      </c>
      <c r="X11" s="120">
        <f>Surv[[#This Row],[Column15]]-Surv[[#This Row],[Column16]]</f>
        <v>0</v>
      </c>
      <c r="Y11" s="81">
        <f t="shared" si="2"/>
        <v>0</v>
      </c>
      <c r="Z11" s="121">
        <v>0</v>
      </c>
      <c r="AA11" s="122">
        <v>0</v>
      </c>
      <c r="AB11" s="123">
        <f>Surv[[#This Row],[Column19]]-Surv[[#This Row],[Column20]]</f>
        <v>0</v>
      </c>
      <c r="AC11" s="82">
        <f t="shared" si="3"/>
        <v>0</v>
      </c>
      <c r="AD11" s="124">
        <v>0</v>
      </c>
      <c r="AE11" s="125">
        <v>0</v>
      </c>
      <c r="AF11" s="123">
        <f>Surv[[#This Row],[Column24]]-Surv[[#This Row],[Column30]]</f>
        <v>0</v>
      </c>
      <c r="AG11" s="82">
        <f>IFERROR(Surv[[#This Row],[Column30]]/Surv[[#This Row],[Column24]],0)</f>
        <v>0</v>
      </c>
      <c r="AH11" s="6">
        <f>IFERROR(Surv[[#This Row],[Column24]]/Surv[[#This Row],[Column19]],0)</f>
        <v>0</v>
      </c>
      <c r="AI11" s="36"/>
    </row>
    <row r="12" spans="1:35" ht="73" thickBot="1" x14ac:dyDescent="0.25">
      <c r="A12" s="246">
        <v>4</v>
      </c>
      <c r="B12" s="62"/>
      <c r="C12" s="111" t="s">
        <v>121</v>
      </c>
      <c r="D12" s="111"/>
      <c r="E12" s="111"/>
      <c r="F12" s="111"/>
      <c r="G12" s="131"/>
      <c r="H12" s="132"/>
      <c r="I12" s="137">
        <v>0</v>
      </c>
      <c r="J12" s="75">
        <v>0</v>
      </c>
      <c r="K12" s="138">
        <f>Surv[[#This Row],[Column7]]-Surv[[#This Row],[Column8]]</f>
        <v>0</v>
      </c>
      <c r="L12" s="83">
        <f t="shared" si="0"/>
        <v>0</v>
      </c>
      <c r="M12" s="137">
        <v>0</v>
      </c>
      <c r="N12" s="75">
        <v>0</v>
      </c>
      <c r="O12" s="138">
        <f>Surv[[#This Row],[Column10]]-Surv[[#This Row],[Column11]]</f>
        <v>0</v>
      </c>
      <c r="P12" s="83">
        <f t="shared" si="1"/>
        <v>0</v>
      </c>
      <c r="Q12" s="83">
        <f>IFERROR(Surv[[#This Row],[Column10]]/Surv[[#This Row],[Column7]],0)</f>
        <v>0</v>
      </c>
      <c r="R12" s="137">
        <v>0</v>
      </c>
      <c r="S12" s="75">
        <v>0</v>
      </c>
      <c r="T12" s="138">
        <f>Surv[[#This Row],[Column23]]-Surv[[#This Row],[Column27]]</f>
        <v>0</v>
      </c>
      <c r="U12" s="83">
        <f>IFERROR(Surv[[#This Row],[Column27]]/Surv[[#This Row],[Column23]],0)</f>
        <v>0</v>
      </c>
      <c r="V12" s="137">
        <v>0</v>
      </c>
      <c r="W12" s="75">
        <v>0</v>
      </c>
      <c r="X12" s="138">
        <f>Surv[[#This Row],[Column15]]-Surv[[#This Row],[Column16]]</f>
        <v>0</v>
      </c>
      <c r="Y12" s="83">
        <f t="shared" si="2"/>
        <v>0</v>
      </c>
      <c r="Z12" s="139">
        <v>0</v>
      </c>
      <c r="AA12" s="140">
        <v>0</v>
      </c>
      <c r="AB12" s="141">
        <f>Surv[[#This Row],[Column19]]-Surv[[#This Row],[Column20]]</f>
        <v>0</v>
      </c>
      <c r="AC12" s="84">
        <f t="shared" si="3"/>
        <v>0</v>
      </c>
      <c r="AD12" s="142">
        <v>0</v>
      </c>
      <c r="AE12" s="143">
        <v>0</v>
      </c>
      <c r="AF12" s="141">
        <f>Surv[[#This Row],[Column24]]-Surv[[#This Row],[Column30]]</f>
        <v>0</v>
      </c>
      <c r="AG12" s="84">
        <f>IFERROR(Surv[[#This Row],[Column30]]/Surv[[#This Row],[Column24]],0)</f>
        <v>0</v>
      </c>
      <c r="AH12" s="144">
        <f>IFERROR(Surv[[#This Row],[Column24]]/Surv[[#This Row],[Column19]],0)</f>
        <v>0</v>
      </c>
      <c r="AI12" s="85"/>
    </row>
    <row r="13" spans="1:35" ht="83.5" customHeight="1" thickBot="1" x14ac:dyDescent="0.25">
      <c r="A13" s="261"/>
      <c r="B13" s="281"/>
      <c r="C13" s="282"/>
      <c r="D13" s="377" t="s">
        <v>70</v>
      </c>
      <c r="E13" s="284"/>
      <c r="F13" s="285"/>
      <c r="G13" s="383"/>
      <c r="H13" s="384"/>
      <c r="I13" s="288">
        <f>SUBTOTAL(109,Surv[Column7])</f>
        <v>0</v>
      </c>
      <c r="J13" s="289">
        <f>SUBTOTAL(109,Surv[Column8])</f>
        <v>0</v>
      </c>
      <c r="K13" s="289">
        <f>SUBTOTAL(109,Surv[Column9])</f>
        <v>0</v>
      </c>
      <c r="L13" s="374">
        <f>IFERROR(Surv[[#Totals],[Column8]]/Surv[[#Totals],[Column7]],0)</f>
        <v>0</v>
      </c>
      <c r="M13" s="288">
        <f>SUBTOTAL(109,Surv[Column10])</f>
        <v>0</v>
      </c>
      <c r="N13" s="289">
        <f>SUBTOTAL(109,Surv[Column11])</f>
        <v>0</v>
      </c>
      <c r="O13" s="289">
        <f>SUBTOTAL(109,Surv[Column12])</f>
        <v>0</v>
      </c>
      <c r="P13" s="374">
        <f>IFERROR(Surv[[#Totals],[Column11]]/Surv[[#Totals],[Column10]],0)</f>
        <v>0</v>
      </c>
      <c r="Q13" s="538">
        <f>IFERROR(Surv[[#Totals],[Column10]]/Surv[[#Totals],[Column7]],0)</f>
        <v>0</v>
      </c>
      <c r="R13" s="288">
        <f>SUBTOTAL(109,Surv[Column23])</f>
        <v>0</v>
      </c>
      <c r="S13" s="281">
        <f>SUBTOTAL(109,Surv[Column27])</f>
        <v>0</v>
      </c>
      <c r="T13" s="281">
        <f>SUBTOTAL(109,Surv[Column28])</f>
        <v>0</v>
      </c>
      <c r="U13" s="374">
        <f>IFERROR(Surv[[#Totals],[Column27]]/Surv[[#Totals],[Column23]],0)</f>
        <v>0</v>
      </c>
      <c r="V13" s="288">
        <f>SUBTOTAL(109,Surv[Column15])</f>
        <v>0</v>
      </c>
      <c r="W13" s="281">
        <f>SUBTOTAL(109,Surv[Column16])</f>
        <v>0</v>
      </c>
      <c r="X13" s="281">
        <f>SUBTOTAL(109,Surv[Column17])</f>
        <v>0</v>
      </c>
      <c r="Y13" s="374">
        <f>IFERROR(Surv[[#Totals],[Column16]]/Surv[[#Totals],[Column15]],0)</f>
        <v>0</v>
      </c>
      <c r="Z13" s="385">
        <f>SUBTOTAL(109,Surv[Column19])</f>
        <v>0</v>
      </c>
      <c r="AA13" s="292">
        <f>SUBTOTAL(109,Surv[Column20])</f>
        <v>0</v>
      </c>
      <c r="AB13" s="292">
        <f>SUBTOTAL(109,Surv[Column21])</f>
        <v>0</v>
      </c>
      <c r="AC13" s="290">
        <f>IFERROR(Surv[[#Totals],[Column20]]/Surv[[#Totals],[Column19]],0)</f>
        <v>0</v>
      </c>
      <c r="AD13" s="291">
        <f>SUBTOTAL(109,Surv[Column24])</f>
        <v>0</v>
      </c>
      <c r="AE13" s="386">
        <f>SUBTOTAL(109,Surv[Column30])</f>
        <v>0</v>
      </c>
      <c r="AF13" s="292">
        <f>SUBTOTAL(109,Surv[Column29])</f>
        <v>0</v>
      </c>
      <c r="AG13" s="404">
        <f>IFERROR(Surv[[#Totals],[Column30]]/Surv[[#Totals],[Column24]],0)</f>
        <v>0</v>
      </c>
      <c r="AH13" s="340">
        <f>IFERROR(Surv[[#Totals],[Column24]]/Surv[[#Totals],[Column19]],0)</f>
        <v>0</v>
      </c>
      <c r="AI13" s="285"/>
    </row>
    <row r="14" spans="1:35" ht="18" thickBot="1" x14ac:dyDescent="0.25">
      <c r="A14" s="332" t="s">
        <v>122</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7"/>
    </row>
  </sheetData>
  <sheetProtection formatRows="0" insertRows="0" deleteRows="0" sort="0" autoFilter="0" pivotTables="0"/>
  <mergeCells count="11">
    <mergeCell ref="AD7:AG7"/>
    <mergeCell ref="I7:L7"/>
    <mergeCell ref="R7:U7"/>
    <mergeCell ref="V7:Y7"/>
    <mergeCell ref="Z7:AC7"/>
    <mergeCell ref="H7:H8"/>
    <mergeCell ref="A7:A8"/>
    <mergeCell ref="B7:B8"/>
    <mergeCell ref="C7:C8"/>
    <mergeCell ref="D7:F7"/>
    <mergeCell ref="G7:G8"/>
  </mergeCells>
  <dataValidations count="3">
    <dataValidation allowBlank="1" showInputMessage="1" showErrorMessage="1" prompt="Please fill in the cell with text" sqref="B9:F12" xr:uid="{7651D6A4-A72E-4E6C-941D-33CBC5CE9F96}"/>
    <dataValidation type="decimal" allowBlank="1" showInputMessage="1" showErrorMessage="1" prompt="Input only numbers" sqref="I9:J12 M9:N12 R9:S12 V9:W12 Z9:AA12 AD9:AE12" xr:uid="{D643D088-A6FC-43EC-9A14-171173C06A6C}">
      <formula1>0</formula1>
      <formula2>1000000000000</formula2>
    </dataValidation>
    <dataValidation type="custom" allowBlank="1" showInputMessage="1" showErrorMessage="1" errorTitle="NOTICE!" error="Please don't input any value in this cell, there is formula" promptTitle="NOTICE!" prompt="Please don't input any value in this cell, there is formula" sqref="K9:L12 O9:Q12 T9:U12 X9:Y12 AB9:AC12 AF9:AG12" xr:uid="{E5ED27BD-C810-48B2-BB44-ACC7FAE967D3}">
      <formula1>"Please don't input any value in this cell, there is formula"</formula1>
    </dataValidation>
  </dataValidations>
  <pageMargins left="0.7" right="0.7" top="0.75" bottom="0.75" header="0.3" footer="0.3"/>
  <pageSetup paperSize="9" orientation="portrait" verticalDpi="4294967295"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DA13C-B409-443A-8A04-B2E3262725AC}">
  <dimension ref="A1:AI14"/>
  <sheetViews>
    <sheetView view="pageBreakPreview" topLeftCell="D6" zoomScale="40" zoomScaleNormal="55" zoomScaleSheetLayoutView="40" workbookViewId="0">
      <selection activeCell="AD11" sqref="AD11"/>
    </sheetView>
  </sheetViews>
  <sheetFormatPr baseColWidth="10" defaultColWidth="8.6640625" defaultRowHeight="17" x14ac:dyDescent="0.2"/>
  <cols>
    <col min="1" max="1" width="13.5" style="2" customWidth="1"/>
    <col min="2" max="2" width="32.33203125" style="2" customWidth="1"/>
    <col min="3" max="3" width="33.5" style="2" customWidth="1"/>
    <col min="4" max="4" width="29.5" style="2" customWidth="1"/>
    <col min="5" max="6" width="27.33203125" style="2" customWidth="1"/>
    <col min="7" max="8" width="36.1640625" style="2" customWidth="1"/>
    <col min="9" max="12" width="23" style="2" customWidth="1"/>
    <col min="13" max="21" width="14.83203125" style="2" customWidth="1"/>
    <col min="22" max="22" width="20.33203125" style="2" customWidth="1"/>
    <col min="23" max="25" width="14.83203125" style="2" customWidth="1"/>
    <col min="26" max="28" width="15.1640625" style="2" customWidth="1"/>
    <col min="29" max="29" width="14.83203125" style="2" customWidth="1"/>
    <col min="30" max="30" width="33.5" style="2" customWidth="1"/>
    <col min="31" max="33" width="21" style="2" customWidth="1"/>
    <col min="34" max="34" width="27" style="2" customWidth="1"/>
    <col min="35" max="35" width="14.83203125" style="2" customWidth="1"/>
    <col min="36" max="16384" width="8.6640625" style="102"/>
  </cols>
  <sheetData>
    <row r="1" spans="1:35" ht="18" hidden="1" thickBot="1" x14ac:dyDescent="0.25">
      <c r="B1" s="3" t="s">
        <v>123</v>
      </c>
    </row>
    <row r="2" spans="1:35" hidden="1" x14ac:dyDescent="0.2">
      <c r="B2" s="26" t="s">
        <v>40</v>
      </c>
      <c r="C2" s="238">
        <f>'#1'!C2</f>
        <v>0</v>
      </c>
      <c r="D2" s="25" t="s">
        <v>41</v>
      </c>
      <c r="E2" s="239">
        <f>'#2'!E2</f>
        <v>0</v>
      </c>
      <c r="F2" s="105"/>
    </row>
    <row r="3" spans="1:35" hidden="1" x14ac:dyDescent="0.2">
      <c r="B3" s="106" t="s">
        <v>42</v>
      </c>
      <c r="C3" s="240">
        <f>'#1'!C3</f>
        <v>0</v>
      </c>
      <c r="D3" s="105" t="s">
        <v>43</v>
      </c>
      <c r="E3" s="241">
        <f>'#2'!E3</f>
        <v>0</v>
      </c>
      <c r="F3" s="105"/>
    </row>
    <row r="4" spans="1:35" ht="35" hidden="1" thickBot="1" x14ac:dyDescent="0.25">
      <c r="B4" s="13" t="s">
        <v>44</v>
      </c>
      <c r="C4" s="108">
        <f>'#1'!C4</f>
        <v>0</v>
      </c>
      <c r="D4" s="109" t="s">
        <v>45</v>
      </c>
      <c r="E4" s="242">
        <f>'#2'!E4</f>
        <v>0</v>
      </c>
      <c r="F4" s="15"/>
    </row>
    <row r="5" spans="1:35" hidden="1" x14ac:dyDescent="0.2"/>
    <row r="6" spans="1:35" s="2" customFormat="1" ht="83.5" customHeight="1" thickBot="1" x14ac:dyDescent="0.25">
      <c r="A6" s="526" t="s">
        <v>141</v>
      </c>
      <c r="B6" s="527"/>
      <c r="C6" s="527"/>
      <c r="D6" s="527"/>
      <c r="E6" s="527"/>
      <c r="F6" s="527"/>
      <c r="G6" s="527"/>
      <c r="H6" s="527"/>
      <c r="I6" s="527"/>
      <c r="J6" s="527"/>
      <c r="K6" s="527"/>
      <c r="L6" s="527"/>
      <c r="M6" s="527"/>
      <c r="N6" s="527"/>
      <c r="O6" s="527"/>
      <c r="P6" s="527"/>
      <c r="Q6" s="527"/>
      <c r="R6" s="527"/>
      <c r="S6" s="527"/>
      <c r="T6" s="527"/>
      <c r="U6" s="527"/>
      <c r="V6" s="527"/>
      <c r="W6" s="527"/>
      <c r="X6" s="527"/>
      <c r="Y6" s="527"/>
      <c r="Z6" s="527"/>
      <c r="AA6" s="527"/>
      <c r="AB6" s="527"/>
      <c r="AC6" s="527"/>
      <c r="AD6" s="527"/>
      <c r="AE6" s="527"/>
      <c r="AF6" s="527"/>
      <c r="AG6" s="527"/>
      <c r="AH6" s="527"/>
      <c r="AI6" s="527"/>
    </row>
    <row r="7" spans="1:35" s="2" customFormat="1" ht="83.5" customHeight="1" thickBot="1" x14ac:dyDescent="0.25">
      <c r="A7" s="623" t="s">
        <v>50</v>
      </c>
      <c r="B7" s="625" t="s">
        <v>116</v>
      </c>
      <c r="C7" s="627" t="s">
        <v>52</v>
      </c>
      <c r="D7" s="629" t="s">
        <v>53</v>
      </c>
      <c r="E7" s="630"/>
      <c r="F7" s="631"/>
      <c r="G7" s="632" t="s">
        <v>80</v>
      </c>
      <c r="H7" s="664" t="s">
        <v>81</v>
      </c>
      <c r="I7" s="668" t="s">
        <v>129</v>
      </c>
      <c r="J7" s="666"/>
      <c r="K7" s="666"/>
      <c r="L7" s="667"/>
      <c r="M7" s="511" t="s">
        <v>108</v>
      </c>
      <c r="N7" s="512"/>
      <c r="O7" s="512"/>
      <c r="P7" s="513"/>
      <c r="Q7" s="500" t="s">
        <v>150</v>
      </c>
      <c r="R7" s="668" t="s">
        <v>109</v>
      </c>
      <c r="S7" s="666"/>
      <c r="T7" s="666"/>
      <c r="U7" s="667"/>
      <c r="V7" s="629" t="s">
        <v>110</v>
      </c>
      <c r="W7" s="630"/>
      <c r="X7" s="630"/>
      <c r="Y7" s="631"/>
      <c r="Z7" s="636" t="s">
        <v>57</v>
      </c>
      <c r="AA7" s="637"/>
      <c r="AB7" s="637"/>
      <c r="AC7" s="638"/>
      <c r="AD7" s="661" t="s">
        <v>119</v>
      </c>
      <c r="AE7" s="662"/>
      <c r="AF7" s="662"/>
      <c r="AG7" s="663"/>
      <c r="AH7" s="589" t="s">
        <v>151</v>
      </c>
      <c r="AI7" s="315" t="s">
        <v>120</v>
      </c>
    </row>
    <row r="8" spans="1:35" s="2" customFormat="1" ht="83.5" customHeight="1" thickBot="1" x14ac:dyDescent="0.25">
      <c r="A8" s="624"/>
      <c r="B8" s="626"/>
      <c r="C8" s="628"/>
      <c r="D8" s="201" t="s">
        <v>59</v>
      </c>
      <c r="E8" s="202" t="s">
        <v>86</v>
      </c>
      <c r="F8" s="203" t="s">
        <v>87</v>
      </c>
      <c r="G8" s="633"/>
      <c r="H8" s="665"/>
      <c r="I8" s="199" t="s">
        <v>64</v>
      </c>
      <c r="J8" s="204" t="s">
        <v>88</v>
      </c>
      <c r="K8" s="204" t="s">
        <v>89</v>
      </c>
      <c r="L8" s="200" t="s">
        <v>47</v>
      </c>
      <c r="M8" s="199" t="s">
        <v>64</v>
      </c>
      <c r="N8" s="204" t="s">
        <v>88</v>
      </c>
      <c r="O8" s="204" t="s">
        <v>89</v>
      </c>
      <c r="P8" s="200" t="s">
        <v>47</v>
      </c>
      <c r="Q8" s="503" t="s">
        <v>96</v>
      </c>
      <c r="R8" s="199" t="s">
        <v>64</v>
      </c>
      <c r="S8" s="204" t="s">
        <v>88</v>
      </c>
      <c r="T8" s="204" t="s">
        <v>89</v>
      </c>
      <c r="U8" s="200" t="s">
        <v>47</v>
      </c>
      <c r="V8" s="199" t="s">
        <v>64</v>
      </c>
      <c r="W8" s="204" t="s">
        <v>88</v>
      </c>
      <c r="X8" s="204" t="s">
        <v>89</v>
      </c>
      <c r="Y8" s="200" t="s">
        <v>47</v>
      </c>
      <c r="Z8" s="199" t="s">
        <v>90</v>
      </c>
      <c r="AA8" s="204" t="s">
        <v>91</v>
      </c>
      <c r="AB8" s="204" t="s">
        <v>92</v>
      </c>
      <c r="AC8" s="200" t="s">
        <v>47</v>
      </c>
      <c r="AD8" s="199" t="s">
        <v>90</v>
      </c>
      <c r="AE8" s="205" t="s">
        <v>93</v>
      </c>
      <c r="AF8" s="204" t="s">
        <v>94</v>
      </c>
      <c r="AG8" s="204" t="s">
        <v>95</v>
      </c>
      <c r="AH8" s="316" t="s">
        <v>96</v>
      </c>
      <c r="AI8" s="200" t="s">
        <v>97</v>
      </c>
    </row>
    <row r="9" spans="1:35" ht="83.5" customHeight="1" x14ac:dyDescent="0.2">
      <c r="A9" s="244">
        <v>1</v>
      </c>
      <c r="B9" s="62"/>
      <c r="C9" s="111" t="s">
        <v>121</v>
      </c>
      <c r="D9" s="111"/>
      <c r="E9" s="111"/>
      <c r="F9" s="111"/>
      <c r="G9" s="126"/>
      <c r="H9" s="127"/>
      <c r="I9" s="118">
        <v>0</v>
      </c>
      <c r="J9" s="119">
        <v>0</v>
      </c>
      <c r="K9" s="120">
        <f>Mod[[#This Row],[Column7]]-Mod[[#This Row],[Column8]]</f>
        <v>0</v>
      </c>
      <c r="L9" s="81">
        <f>IFERROR(Mod[[#This Row],[Column8]]/Mod[[#This Row],[Column7]],0)</f>
        <v>0</v>
      </c>
      <c r="M9" s="118">
        <v>0</v>
      </c>
      <c r="N9" s="119">
        <v>0</v>
      </c>
      <c r="O9" s="120">
        <f>Mod[[#This Row],[Column10]]-Mod[[#This Row],[Column11]]</f>
        <v>0</v>
      </c>
      <c r="P9" s="81">
        <f>IFERROR(N9/M9,0)</f>
        <v>0</v>
      </c>
      <c r="Q9" s="81">
        <f>IFERROR(Mod[[#This Row],[Column10]]/Mod[[#This Row],[Column7]],0)</f>
        <v>0</v>
      </c>
      <c r="R9" s="118">
        <v>0</v>
      </c>
      <c r="S9" s="119">
        <v>0</v>
      </c>
      <c r="T9" s="120">
        <f>Mod[[#This Row],[Column23]]-Mod[[#This Row],[Column27]]</f>
        <v>0</v>
      </c>
      <c r="U9" s="81">
        <f>IFERROR(Mod[[#This Row],[Column27]]/Mod[[#This Row],[Column23]],0)</f>
        <v>0</v>
      </c>
      <c r="V9" s="118">
        <v>0</v>
      </c>
      <c r="W9" s="119">
        <v>0</v>
      </c>
      <c r="X9" s="120">
        <f>Mod[[#This Row],[Column15]]-Mod[[#This Row],[Column16]]</f>
        <v>0</v>
      </c>
      <c r="Y9" s="81">
        <f>IFERROR(W9/V9,0)</f>
        <v>0</v>
      </c>
      <c r="Z9" s="121">
        <v>0</v>
      </c>
      <c r="AA9" s="122">
        <v>0</v>
      </c>
      <c r="AB9" s="123">
        <f>Mod[[#This Row],[Column19]]-Mod[[#This Row],[Column20]]</f>
        <v>0</v>
      </c>
      <c r="AC9" s="82">
        <f>IFERROR(AA9/Z9,0)</f>
        <v>0</v>
      </c>
      <c r="AD9" s="124">
        <v>0</v>
      </c>
      <c r="AE9" s="125">
        <v>0</v>
      </c>
      <c r="AF9" s="123">
        <f>Mod[[#This Row],[Column24]]-Mod[[#This Row],[Column30]]</f>
        <v>0</v>
      </c>
      <c r="AG9" s="82">
        <f>IFERROR(Mod[[#This Row],[Column30]]/Mod[[#This Row],[Column24]],0)</f>
        <v>0</v>
      </c>
      <c r="AH9" s="6">
        <f>IFERROR(Mod[[#This Row],[Column24]]/Mod[[#This Row],[Column19]],0)</f>
        <v>0</v>
      </c>
      <c r="AI9" s="36"/>
    </row>
    <row r="10" spans="1:35" ht="83.5" customHeight="1" x14ac:dyDescent="0.2">
      <c r="A10" s="4">
        <v>2</v>
      </c>
      <c r="B10" s="62"/>
      <c r="C10" s="111" t="s">
        <v>121</v>
      </c>
      <c r="D10" s="111"/>
      <c r="E10" s="111"/>
      <c r="F10" s="111"/>
      <c r="G10" s="126"/>
      <c r="H10" s="127"/>
      <c r="I10" s="118">
        <v>0</v>
      </c>
      <c r="J10" s="119">
        <v>0</v>
      </c>
      <c r="K10" s="120">
        <f>Mod[[#This Row],[Column7]]-Mod[[#This Row],[Column8]]</f>
        <v>0</v>
      </c>
      <c r="L10" s="81">
        <f>IFERROR(Mod[[#This Row],[Column8]]/Mod[[#This Row],[Column7]],0)</f>
        <v>0</v>
      </c>
      <c r="M10" s="118">
        <v>0</v>
      </c>
      <c r="N10" s="119">
        <v>0</v>
      </c>
      <c r="O10" s="120">
        <f>Mod[[#This Row],[Column10]]-Mod[[#This Row],[Column11]]</f>
        <v>0</v>
      </c>
      <c r="P10" s="81">
        <f t="shared" ref="P10:P12" si="0">IFERROR(N10/M10,0)</f>
        <v>0</v>
      </c>
      <c r="Q10" s="81">
        <f>IFERROR(Mod[[#This Row],[Column10]]/Mod[[#This Row],[Column7]],0)</f>
        <v>0</v>
      </c>
      <c r="R10" s="118">
        <v>0</v>
      </c>
      <c r="S10" s="119">
        <v>0</v>
      </c>
      <c r="T10" s="120">
        <f>Mod[[#This Row],[Column23]]-Mod[[#This Row],[Column27]]</f>
        <v>0</v>
      </c>
      <c r="U10" s="81">
        <f t="shared" ref="U10:U12" si="1">IFERROR(S10/R10,0)</f>
        <v>0</v>
      </c>
      <c r="V10" s="118">
        <v>0</v>
      </c>
      <c r="W10" s="119">
        <v>0</v>
      </c>
      <c r="X10" s="120">
        <f>Mod[[#This Row],[Column15]]-Mod[[#This Row],[Column16]]</f>
        <v>0</v>
      </c>
      <c r="Y10" s="81">
        <f t="shared" ref="Y10:Y12" si="2">IFERROR(W10/V10,0)</f>
        <v>0</v>
      </c>
      <c r="Z10" s="121">
        <v>0</v>
      </c>
      <c r="AA10" s="122">
        <v>0</v>
      </c>
      <c r="AB10" s="123">
        <f>Mod[[#This Row],[Column19]]-Mod[[#This Row],[Column20]]</f>
        <v>0</v>
      </c>
      <c r="AC10" s="82">
        <f t="shared" ref="AC10:AC12" si="3">IFERROR(AA10/Z10,0)</f>
        <v>0</v>
      </c>
      <c r="AD10" s="124">
        <v>0</v>
      </c>
      <c r="AE10" s="125">
        <v>0</v>
      </c>
      <c r="AF10" s="123">
        <f>Mod[[#This Row],[Column24]]-Mod[[#This Row],[Column30]]</f>
        <v>0</v>
      </c>
      <c r="AG10" s="82">
        <f>IFERROR(Mod[[#This Row],[Column30]]/Mod[[#This Row],[Column24]],0)</f>
        <v>0</v>
      </c>
      <c r="AH10" s="6">
        <f>IFERROR(Mod[[#This Row],[Column24]]/Mod[[#This Row],[Column19]],0)</f>
        <v>0</v>
      </c>
      <c r="AI10" s="130"/>
    </row>
    <row r="11" spans="1:35" ht="83.5" customHeight="1" x14ac:dyDescent="0.2">
      <c r="A11" s="4">
        <v>3</v>
      </c>
      <c r="B11" s="62"/>
      <c r="C11" s="111" t="s">
        <v>121</v>
      </c>
      <c r="D11" s="111"/>
      <c r="E11" s="111"/>
      <c r="F11" s="111"/>
      <c r="G11" s="126"/>
      <c r="H11" s="127"/>
      <c r="I11" s="118">
        <v>0</v>
      </c>
      <c r="J11" s="119">
        <v>0</v>
      </c>
      <c r="K11" s="120">
        <f>Mod[[#This Row],[Column7]]-Mod[[#This Row],[Column8]]</f>
        <v>0</v>
      </c>
      <c r="L11" s="81">
        <f>IFERROR(Mod[[#This Row],[Column8]]/Mod[[#This Row],[Column7]],0)</f>
        <v>0</v>
      </c>
      <c r="M11" s="118">
        <v>0</v>
      </c>
      <c r="N11" s="119">
        <v>0</v>
      </c>
      <c r="O11" s="120">
        <f>Mod[[#This Row],[Column10]]-Mod[[#This Row],[Column11]]</f>
        <v>0</v>
      </c>
      <c r="P11" s="81">
        <f t="shared" si="0"/>
        <v>0</v>
      </c>
      <c r="Q11" s="81">
        <f>IFERROR(Mod[[#This Row],[Column10]]/Mod[[#This Row],[Column7]],0)</f>
        <v>0</v>
      </c>
      <c r="R11" s="118">
        <v>0</v>
      </c>
      <c r="S11" s="119">
        <v>0</v>
      </c>
      <c r="T11" s="120">
        <f>Mod[[#This Row],[Column23]]-Mod[[#This Row],[Column27]]</f>
        <v>0</v>
      </c>
      <c r="U11" s="81">
        <f t="shared" si="1"/>
        <v>0</v>
      </c>
      <c r="V11" s="118">
        <v>0</v>
      </c>
      <c r="W11" s="119">
        <v>0</v>
      </c>
      <c r="X11" s="120">
        <f>Mod[[#This Row],[Column15]]-Mod[[#This Row],[Column16]]</f>
        <v>0</v>
      </c>
      <c r="Y11" s="81">
        <f t="shared" si="2"/>
        <v>0</v>
      </c>
      <c r="Z11" s="121">
        <v>0</v>
      </c>
      <c r="AA11" s="122">
        <v>0</v>
      </c>
      <c r="AB11" s="123">
        <f>Mod[[#This Row],[Column19]]-Mod[[#This Row],[Column20]]</f>
        <v>0</v>
      </c>
      <c r="AC11" s="82">
        <f t="shared" si="3"/>
        <v>0</v>
      </c>
      <c r="AD11" s="124">
        <v>0</v>
      </c>
      <c r="AE11" s="125">
        <v>0</v>
      </c>
      <c r="AF11" s="123">
        <f>Mod[[#This Row],[Column24]]-Mod[[#This Row],[Column30]]</f>
        <v>0</v>
      </c>
      <c r="AG11" s="82">
        <f>IFERROR(Mod[[#This Row],[Column30]]/Mod[[#This Row],[Column24]],0)</f>
        <v>0</v>
      </c>
      <c r="AH11" s="6">
        <f>IFERROR(Mod[[#This Row],[Column24]]/Mod[[#This Row],[Column19]],0)</f>
        <v>0</v>
      </c>
      <c r="AI11" s="36"/>
    </row>
    <row r="12" spans="1:35" ht="73" thickBot="1" x14ac:dyDescent="0.25">
      <c r="A12" s="4">
        <v>4</v>
      </c>
      <c r="B12" s="62"/>
      <c r="C12" s="111" t="s">
        <v>121</v>
      </c>
      <c r="D12" s="111"/>
      <c r="E12" s="111"/>
      <c r="F12" s="111"/>
      <c r="G12" s="126"/>
      <c r="H12" s="127"/>
      <c r="I12" s="118">
        <v>0</v>
      </c>
      <c r="J12" s="119">
        <v>0</v>
      </c>
      <c r="K12" s="120">
        <f>Mod[[#This Row],[Column7]]-Mod[[#This Row],[Column8]]</f>
        <v>0</v>
      </c>
      <c r="L12" s="81">
        <f>IFERROR(Mod[[#This Row],[Column8]]/Mod[[#This Row],[Column7]],0)</f>
        <v>0</v>
      </c>
      <c r="M12" s="118">
        <v>0</v>
      </c>
      <c r="N12" s="119">
        <v>0</v>
      </c>
      <c r="O12" s="120">
        <f>Mod[[#This Row],[Column10]]-Mod[[#This Row],[Column11]]</f>
        <v>0</v>
      </c>
      <c r="P12" s="81">
        <f t="shared" si="0"/>
        <v>0</v>
      </c>
      <c r="Q12" s="81">
        <f>IFERROR(Mod[[#This Row],[Column10]]/Mod[[#This Row],[Column7]],0)</f>
        <v>0</v>
      </c>
      <c r="R12" s="118">
        <v>0</v>
      </c>
      <c r="S12" s="119">
        <v>0</v>
      </c>
      <c r="T12" s="120">
        <f>Mod[[#This Row],[Column23]]-Mod[[#This Row],[Column27]]</f>
        <v>0</v>
      </c>
      <c r="U12" s="81">
        <f t="shared" si="1"/>
        <v>0</v>
      </c>
      <c r="V12" s="118">
        <v>0</v>
      </c>
      <c r="W12" s="119">
        <v>0</v>
      </c>
      <c r="X12" s="120">
        <f>Mod[[#This Row],[Column15]]-Mod[[#This Row],[Column16]]</f>
        <v>0</v>
      </c>
      <c r="Y12" s="81">
        <f t="shared" si="2"/>
        <v>0</v>
      </c>
      <c r="Z12" s="121">
        <v>0</v>
      </c>
      <c r="AA12" s="122">
        <v>0</v>
      </c>
      <c r="AB12" s="123">
        <f>Mod[[#This Row],[Column19]]-Mod[[#This Row],[Column20]]</f>
        <v>0</v>
      </c>
      <c r="AC12" s="82">
        <f t="shared" si="3"/>
        <v>0</v>
      </c>
      <c r="AD12" s="124">
        <v>0</v>
      </c>
      <c r="AE12" s="125">
        <v>0</v>
      </c>
      <c r="AF12" s="123">
        <f>Mod[[#This Row],[Column24]]-Mod[[#This Row],[Column30]]</f>
        <v>0</v>
      </c>
      <c r="AG12" s="82">
        <f>IFERROR(Mod[[#This Row],[Column30]]/Mod[[#This Row],[Column24]],0)</f>
        <v>0</v>
      </c>
      <c r="AH12" s="6">
        <f>IFERROR(Mod[[#This Row],[Column24]]/Mod[[#This Row],[Column19]],0)</f>
        <v>0</v>
      </c>
      <c r="AI12" s="7"/>
    </row>
    <row r="13" spans="1:35" ht="83.5" customHeight="1" thickBot="1" x14ac:dyDescent="0.25">
      <c r="A13" s="261"/>
      <c r="B13" s="281"/>
      <c r="C13" s="282"/>
      <c r="D13" s="377" t="s">
        <v>70</v>
      </c>
      <c r="E13" s="284"/>
      <c r="F13" s="285"/>
      <c r="G13" s="378"/>
      <c r="H13" s="379"/>
      <c r="I13" s="349">
        <f>SUBTOTAL(109,Mod[Column7])</f>
        <v>0</v>
      </c>
      <c r="J13" s="350">
        <f>SUBTOTAL(109,Mod[Column8])</f>
        <v>0</v>
      </c>
      <c r="K13" s="350">
        <f>SUBTOTAL(109,Mod[Column9])</f>
        <v>0</v>
      </c>
      <c r="L13" s="380">
        <f>IFERROR(Mod[[#Totals],[Column8]]/Mod[[#Totals],[Column7]],0)</f>
        <v>0</v>
      </c>
      <c r="M13" s="349">
        <f>SUBTOTAL(109,Mod[Column10])</f>
        <v>0</v>
      </c>
      <c r="N13" s="350">
        <f>SUBTOTAL(109,Mod[Column11])</f>
        <v>0</v>
      </c>
      <c r="O13" s="350">
        <f>SUBTOTAL(109,Mod[Column12])</f>
        <v>0</v>
      </c>
      <c r="P13" s="380">
        <f>IFERROR(Mod[[#Totals],[Column11]]/Mod[[#Totals],[Column10]],0)</f>
        <v>0</v>
      </c>
      <c r="Q13" s="380">
        <f>IFERROR(Mod[[#Totals],[Column10]]/Mod[[#Totals],[Column7]],0)</f>
        <v>0</v>
      </c>
      <c r="R13" s="349">
        <f>SUBTOTAL(109,Mod[Column23])</f>
        <v>0</v>
      </c>
      <c r="S13" s="352">
        <f>SUBTOTAL(109,Mod[Column27])</f>
        <v>0</v>
      </c>
      <c r="T13" s="352">
        <f>SUBTOTAL(109,Mod[Column28])</f>
        <v>0</v>
      </c>
      <c r="U13" s="380">
        <f>IFERROR(Mod[[#Totals],[Column27]]/Mod[[#Totals],[Column23]],0)</f>
        <v>0</v>
      </c>
      <c r="V13" s="349">
        <f>SUBTOTAL(109,Mod[Column15])</f>
        <v>0</v>
      </c>
      <c r="W13" s="352">
        <f>SUBTOTAL(109,Mod[Column16])</f>
        <v>0</v>
      </c>
      <c r="X13" s="352">
        <f>SUBTOTAL(109,Mod[Column17])</f>
        <v>0</v>
      </c>
      <c r="Y13" s="380">
        <f>IFERROR(Mod[[#Totals],[Column16]]/Mod[[#Totals],[Column15]],0)</f>
        <v>0</v>
      </c>
      <c r="Z13" s="381">
        <f>SUBTOTAL(109,Mod[Column19])</f>
        <v>0</v>
      </c>
      <c r="AA13" s="354">
        <f>SUBTOTAL(109,Mod[Column20])</f>
        <v>0</v>
      </c>
      <c r="AB13" s="354">
        <f>SUBTOTAL(109,Mod[Column21])</f>
        <v>0</v>
      </c>
      <c r="AC13" s="351">
        <f>IFERROR(Mod[[#Totals],[Column20]]/Mod[[#Totals],[Column19]],0)</f>
        <v>0</v>
      </c>
      <c r="AD13" s="353">
        <f>SUBTOTAL(109,Mod[Column24])</f>
        <v>0</v>
      </c>
      <c r="AE13" s="382">
        <f>SUBTOTAL(109,Mod[Column30])</f>
        <v>0</v>
      </c>
      <c r="AF13" s="354">
        <f>SUBTOTAL(109,Mod[Column29])</f>
        <v>0</v>
      </c>
      <c r="AG13" s="355">
        <f>IFERROR(Mod[[#Totals],[Column30]]/Mod[[#Totals],[Column24]],0)</f>
        <v>0</v>
      </c>
      <c r="AH13" s="356">
        <f>IFERROR(Mod[[#Totals],[Column24]]/Mod[[#Totals],[Column19]],0)</f>
        <v>0</v>
      </c>
      <c r="AI13" s="357"/>
    </row>
    <row r="14" spans="1:35" x14ac:dyDescent="0.2">
      <c r="A14" s="194" t="s">
        <v>122</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sheetData>
  <sheetProtection formatRows="0" insertRows="0" deleteRows="0" sort="0" autoFilter="0" pivotTables="0"/>
  <mergeCells count="11">
    <mergeCell ref="AD7:AG7"/>
    <mergeCell ref="I7:L7"/>
    <mergeCell ref="R7:U7"/>
    <mergeCell ref="V7:Y7"/>
    <mergeCell ref="Z7:AC7"/>
    <mergeCell ref="H7:H8"/>
    <mergeCell ref="A7:A8"/>
    <mergeCell ref="B7:B8"/>
    <mergeCell ref="C7:C8"/>
    <mergeCell ref="D7:F7"/>
    <mergeCell ref="G7:G8"/>
  </mergeCells>
  <dataValidations count="3">
    <dataValidation allowBlank="1" showInputMessage="1" showErrorMessage="1" prompt="Please fill in the cell with text" sqref="B9:F12" xr:uid="{3B124091-E7E9-4E11-8718-589952897123}"/>
    <dataValidation type="decimal" allowBlank="1" showInputMessage="1" showErrorMessage="1" prompt="Input only numbers" sqref="I9:J12 M9:N12 R9:S12 V9:W12 Z9:AA12 AD9:AE12" xr:uid="{6B5E54F2-F33E-48AC-9246-2DBBED25A01C}">
      <formula1>0</formula1>
      <formula2>100000000000</formula2>
    </dataValidation>
    <dataValidation type="custom" allowBlank="1" showInputMessage="1" showErrorMessage="1" errorTitle="NOTICE!" error="Please don't input any value in this cell, there is formula" promptTitle="NOTICE!" prompt="Please don't input any value in this cell, there is formula" sqref="K9:L12 O9:Q12 T9:U12 X9:Y12 AB9:AC12 AF9:AG12" xr:uid="{F1682E03-857E-49F3-90E6-5E938D101073}">
      <formula1>"Please don't input any value in this cell, there is formula"</formula1>
    </dataValidation>
  </dataValidations>
  <pageMargins left="0.7" right="0.7" top="0.75" bottom="0.75" header="0.3" footer="0.3"/>
  <pageSetup paperSize="9" orientation="portrait" verticalDpi="4294967295"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B860A-CE59-410A-A55E-30DA89DD1ACB}">
  <dimension ref="A1:AI14"/>
  <sheetViews>
    <sheetView view="pageBreakPreview" topLeftCell="G6" zoomScale="40" zoomScaleNormal="55" zoomScaleSheetLayoutView="40" workbookViewId="0">
      <selection activeCell="AD11" sqref="AD11"/>
    </sheetView>
  </sheetViews>
  <sheetFormatPr baseColWidth="10" defaultColWidth="8.6640625" defaultRowHeight="17" x14ac:dyDescent="0.2"/>
  <cols>
    <col min="1" max="1" width="13.5" style="2" customWidth="1"/>
    <col min="2" max="2" width="32.33203125" style="2" customWidth="1"/>
    <col min="3" max="3" width="33.5" style="2" customWidth="1"/>
    <col min="4" max="4" width="29.5" style="2" customWidth="1"/>
    <col min="5" max="6" width="27.33203125" style="2" customWidth="1"/>
    <col min="7" max="8" width="36.1640625" style="2" customWidth="1"/>
    <col min="9" max="12" width="16.5" style="2" customWidth="1"/>
    <col min="13" max="21" width="14.83203125" style="2" customWidth="1"/>
    <col min="22" max="22" width="20.33203125" style="2" customWidth="1"/>
    <col min="23" max="25" width="14.83203125" style="2" customWidth="1"/>
    <col min="26" max="28" width="15.1640625" style="2" customWidth="1"/>
    <col min="29" max="29" width="14.83203125" style="2" customWidth="1"/>
    <col min="30" max="30" width="33.5" style="2" customWidth="1"/>
    <col min="31" max="33" width="21" style="2" customWidth="1"/>
    <col min="34" max="34" width="27" style="2" customWidth="1"/>
    <col min="35" max="35" width="14.83203125" style="2" customWidth="1"/>
    <col min="36" max="16384" width="8.6640625" style="102"/>
  </cols>
  <sheetData>
    <row r="1" spans="1:35" ht="18" hidden="1" thickBot="1" x14ac:dyDescent="0.25">
      <c r="B1" s="3" t="s">
        <v>123</v>
      </c>
    </row>
    <row r="2" spans="1:35" hidden="1" x14ac:dyDescent="0.2">
      <c r="B2" s="26" t="s">
        <v>40</v>
      </c>
      <c r="C2" s="238">
        <f>'#1'!C2</f>
        <v>0</v>
      </c>
      <c r="D2" s="25" t="s">
        <v>41</v>
      </c>
      <c r="E2" s="239">
        <f>'#2'!E2</f>
        <v>0</v>
      </c>
      <c r="F2" s="105"/>
    </row>
    <row r="3" spans="1:35" hidden="1" x14ac:dyDescent="0.2">
      <c r="B3" s="106" t="s">
        <v>42</v>
      </c>
      <c r="C3" s="240">
        <f>'#1'!C3</f>
        <v>0</v>
      </c>
      <c r="D3" s="105" t="s">
        <v>43</v>
      </c>
      <c r="E3" s="241">
        <f>'#2'!E3</f>
        <v>0</v>
      </c>
      <c r="F3" s="105"/>
    </row>
    <row r="4" spans="1:35" ht="35" hidden="1" thickBot="1" x14ac:dyDescent="0.25">
      <c r="B4" s="13" t="s">
        <v>44</v>
      </c>
      <c r="C4" s="108">
        <f>'#1'!C4</f>
        <v>0</v>
      </c>
      <c r="D4" s="109" t="s">
        <v>45</v>
      </c>
      <c r="E4" s="242">
        <f>'#2'!E4</f>
        <v>0</v>
      </c>
      <c r="F4" s="15"/>
    </row>
    <row r="5" spans="1:35" hidden="1" x14ac:dyDescent="0.2"/>
    <row r="6" spans="1:35" s="2" customFormat="1" ht="83.5" customHeight="1" thickBot="1" x14ac:dyDescent="0.25">
      <c r="A6" s="526" t="s">
        <v>142</v>
      </c>
      <c r="B6" s="527"/>
      <c r="C6" s="527"/>
      <c r="D6" s="527"/>
      <c r="E6" s="527"/>
      <c r="F6" s="527"/>
      <c r="G6" s="527"/>
      <c r="H6" s="527"/>
      <c r="I6" s="527"/>
      <c r="J6" s="527"/>
      <c r="K6" s="527"/>
      <c r="L6" s="527"/>
      <c r="M6" s="527"/>
      <c r="N6" s="527"/>
      <c r="O6" s="527"/>
      <c r="P6" s="527"/>
      <c r="Q6" s="527"/>
      <c r="R6" s="527"/>
      <c r="S6" s="527"/>
      <c r="T6" s="527"/>
      <c r="U6" s="527"/>
      <c r="V6" s="527"/>
      <c r="W6" s="527"/>
      <c r="X6" s="527"/>
      <c r="Y6" s="527"/>
      <c r="Z6" s="527"/>
      <c r="AA6" s="527"/>
      <c r="AB6" s="527"/>
      <c r="AC6" s="527"/>
      <c r="AD6" s="527"/>
      <c r="AE6" s="527"/>
      <c r="AF6" s="527"/>
      <c r="AG6" s="527"/>
      <c r="AH6" s="527"/>
      <c r="AI6" s="527"/>
    </row>
    <row r="7" spans="1:35" s="2" customFormat="1" ht="83.5" customHeight="1" thickBot="1" x14ac:dyDescent="0.25">
      <c r="A7" s="623" t="s">
        <v>50</v>
      </c>
      <c r="B7" s="625" t="s">
        <v>116</v>
      </c>
      <c r="C7" s="627" t="s">
        <v>52</v>
      </c>
      <c r="D7" s="629" t="s">
        <v>53</v>
      </c>
      <c r="E7" s="630"/>
      <c r="F7" s="631"/>
      <c r="G7" s="632" t="s">
        <v>80</v>
      </c>
      <c r="H7" s="664" t="s">
        <v>81</v>
      </c>
      <c r="I7" s="668" t="s">
        <v>129</v>
      </c>
      <c r="J7" s="666"/>
      <c r="K7" s="666"/>
      <c r="L7" s="667"/>
      <c r="M7" s="511" t="s">
        <v>108</v>
      </c>
      <c r="N7" s="512"/>
      <c r="O7" s="512"/>
      <c r="P7" s="513"/>
      <c r="Q7" s="500" t="s">
        <v>150</v>
      </c>
      <c r="R7" s="668" t="s">
        <v>109</v>
      </c>
      <c r="S7" s="666"/>
      <c r="T7" s="666"/>
      <c r="U7" s="667"/>
      <c r="V7" s="629" t="s">
        <v>110</v>
      </c>
      <c r="W7" s="630"/>
      <c r="X7" s="630"/>
      <c r="Y7" s="631"/>
      <c r="Z7" s="636" t="s">
        <v>57</v>
      </c>
      <c r="AA7" s="637"/>
      <c r="AB7" s="637"/>
      <c r="AC7" s="638"/>
      <c r="AD7" s="661" t="s">
        <v>119</v>
      </c>
      <c r="AE7" s="662"/>
      <c r="AF7" s="662"/>
      <c r="AG7" s="663"/>
      <c r="AH7" s="589" t="s">
        <v>151</v>
      </c>
      <c r="AI7" s="315" t="s">
        <v>120</v>
      </c>
    </row>
    <row r="8" spans="1:35" s="2" customFormat="1" ht="83.5" customHeight="1" thickBot="1" x14ac:dyDescent="0.25">
      <c r="A8" s="624"/>
      <c r="B8" s="626"/>
      <c r="C8" s="628"/>
      <c r="D8" s="201" t="s">
        <v>59</v>
      </c>
      <c r="E8" s="202" t="s">
        <v>86</v>
      </c>
      <c r="F8" s="203" t="s">
        <v>87</v>
      </c>
      <c r="G8" s="633"/>
      <c r="H8" s="665"/>
      <c r="I8" s="199" t="s">
        <v>64</v>
      </c>
      <c r="J8" s="204" t="s">
        <v>88</v>
      </c>
      <c r="K8" s="204" t="s">
        <v>89</v>
      </c>
      <c r="L8" s="200" t="s">
        <v>47</v>
      </c>
      <c r="M8" s="199" t="s">
        <v>64</v>
      </c>
      <c r="N8" s="204" t="s">
        <v>88</v>
      </c>
      <c r="O8" s="204" t="s">
        <v>89</v>
      </c>
      <c r="P8" s="200" t="s">
        <v>47</v>
      </c>
      <c r="Q8" s="503" t="s">
        <v>96</v>
      </c>
      <c r="R8" s="199" t="s">
        <v>64</v>
      </c>
      <c r="S8" s="204" t="s">
        <v>88</v>
      </c>
      <c r="T8" s="204" t="s">
        <v>89</v>
      </c>
      <c r="U8" s="200" t="s">
        <v>47</v>
      </c>
      <c r="V8" s="199" t="s">
        <v>64</v>
      </c>
      <c r="W8" s="204" t="s">
        <v>88</v>
      </c>
      <c r="X8" s="204" t="s">
        <v>89</v>
      </c>
      <c r="Y8" s="200" t="s">
        <v>47</v>
      </c>
      <c r="Z8" s="199" t="s">
        <v>90</v>
      </c>
      <c r="AA8" s="204" t="s">
        <v>91</v>
      </c>
      <c r="AB8" s="204" t="s">
        <v>92</v>
      </c>
      <c r="AC8" s="200" t="s">
        <v>47</v>
      </c>
      <c r="AD8" s="199" t="s">
        <v>90</v>
      </c>
      <c r="AE8" s="205" t="s">
        <v>93</v>
      </c>
      <c r="AF8" s="204" t="s">
        <v>94</v>
      </c>
      <c r="AG8" s="204" t="s">
        <v>95</v>
      </c>
      <c r="AH8" s="316" t="s">
        <v>96</v>
      </c>
      <c r="AI8" s="200" t="s">
        <v>97</v>
      </c>
    </row>
    <row r="9" spans="1:35" ht="83.5" customHeight="1" x14ac:dyDescent="0.2">
      <c r="A9" s="4">
        <v>1</v>
      </c>
      <c r="B9" s="62"/>
      <c r="C9" s="111" t="s">
        <v>121</v>
      </c>
      <c r="D9" s="111"/>
      <c r="E9" s="111"/>
      <c r="F9" s="111"/>
      <c r="G9" s="126"/>
      <c r="H9" s="127"/>
      <c r="I9" s="118">
        <v>0</v>
      </c>
      <c r="J9" s="119">
        <v>0</v>
      </c>
      <c r="K9" s="120">
        <f>Ship[[#This Row],[Column7]]-Ship[[#This Row],[Column8]]</f>
        <v>0</v>
      </c>
      <c r="L9" s="81">
        <f>IFERROR(Ship[[#This Row],[Column8]]/Ship[[#This Row],[Column7]],0)</f>
        <v>0</v>
      </c>
      <c r="M9" s="118">
        <v>0</v>
      </c>
      <c r="N9" s="119">
        <v>0</v>
      </c>
      <c r="O9" s="120">
        <f>Ship[[#This Row],[Column10]]-Ship[[#This Row],[Column11]]</f>
        <v>0</v>
      </c>
      <c r="P9" s="81">
        <f>IFERROR(N9/M9,0)</f>
        <v>0</v>
      </c>
      <c r="Q9" s="81">
        <f>IFERROR(Ship[[#This Row],[Column10]]/Ship[[#This Row],[Column7]],0)</f>
        <v>0</v>
      </c>
      <c r="R9" s="118">
        <v>0</v>
      </c>
      <c r="S9" s="119">
        <v>0</v>
      </c>
      <c r="T9" s="120">
        <f>Ship[[#This Row],[Column23]]-Ship[[#This Row],[Column27]]</f>
        <v>0</v>
      </c>
      <c r="U9" s="81">
        <f>IFERROR(Ship[[#This Row],[Column27]]/Ship[[#This Row],[Column23]],0)</f>
        <v>0</v>
      </c>
      <c r="V9" s="118">
        <v>0</v>
      </c>
      <c r="W9" s="119">
        <v>0</v>
      </c>
      <c r="X9" s="120">
        <f>Ship[[#This Row],[Column15]]-Ship[[#This Row],[Column16]]</f>
        <v>0</v>
      </c>
      <c r="Y9" s="81">
        <f>IFERROR(W9/V9,0)</f>
        <v>0</v>
      </c>
      <c r="Z9" s="121">
        <v>0</v>
      </c>
      <c r="AA9" s="122">
        <v>0</v>
      </c>
      <c r="AB9" s="123">
        <f>Ship[[#This Row],[Column19]]-Ship[[#This Row],[Column20]]</f>
        <v>0</v>
      </c>
      <c r="AC9" s="82">
        <f>IFERROR(AA9/Z9,0)</f>
        <v>0</v>
      </c>
      <c r="AD9" s="124">
        <v>0</v>
      </c>
      <c r="AE9" s="125">
        <v>0</v>
      </c>
      <c r="AF9" s="123">
        <f>Ship[[#This Row],[Column24]]-Ship[[#This Row],[Column30]]</f>
        <v>0</v>
      </c>
      <c r="AG9" s="82">
        <f>IFERROR(Ship[[#This Row],[Column30]]/Ship[[#This Row],[Column24]],0)</f>
        <v>0</v>
      </c>
      <c r="AH9" s="6">
        <f>IFERROR(Ship[[#This Row],[Column24]]/Ship[[#This Row],[Column19]],0)</f>
        <v>0</v>
      </c>
      <c r="AI9" s="36"/>
    </row>
    <row r="10" spans="1:35" ht="83.5" customHeight="1" x14ac:dyDescent="0.2">
      <c r="A10" s="4">
        <v>2</v>
      </c>
      <c r="B10" s="62"/>
      <c r="C10" s="111" t="s">
        <v>121</v>
      </c>
      <c r="D10" s="111"/>
      <c r="E10" s="111"/>
      <c r="F10" s="111"/>
      <c r="G10" s="126"/>
      <c r="H10" s="127"/>
      <c r="I10" s="118">
        <v>0</v>
      </c>
      <c r="J10" s="119">
        <v>0</v>
      </c>
      <c r="K10" s="120">
        <f>Ship[[#This Row],[Column7]]-Ship[[#This Row],[Column8]]</f>
        <v>0</v>
      </c>
      <c r="L10" s="81">
        <f>IFERROR(Ship[[#This Row],[Column8]]/Ship[[#This Row],[Column7]],0)</f>
        <v>0</v>
      </c>
      <c r="M10" s="118">
        <v>0</v>
      </c>
      <c r="N10" s="119">
        <v>0</v>
      </c>
      <c r="O10" s="120">
        <f>Ship[[#This Row],[Column10]]-Ship[[#This Row],[Column11]]</f>
        <v>0</v>
      </c>
      <c r="P10" s="81">
        <f>IFERROR(N12/M12,0)</f>
        <v>0</v>
      </c>
      <c r="Q10" s="81">
        <f>IFERROR(Ship[[#This Row],[Column10]]/Ship[[#This Row],[Column7]],0)</f>
        <v>0</v>
      </c>
      <c r="R10" s="118">
        <v>0</v>
      </c>
      <c r="S10" s="119">
        <v>0</v>
      </c>
      <c r="T10" s="120">
        <f>Ship[[#This Row],[Column23]]-Ship[[#This Row],[Column27]]</f>
        <v>0</v>
      </c>
      <c r="U10" s="81">
        <f>IFERROR(Ship[[#This Row],[Column27]]/Ship[[#This Row],[Column23]],0)</f>
        <v>0</v>
      </c>
      <c r="V10" s="118">
        <v>0</v>
      </c>
      <c r="W10" s="119">
        <v>0</v>
      </c>
      <c r="X10" s="120">
        <f>Ship[[#This Row],[Column15]]-Ship[[#This Row],[Column16]]</f>
        <v>0</v>
      </c>
      <c r="Y10" s="81">
        <f t="shared" ref="Y10:Y12" si="0">IFERROR(W10/V10,0)</f>
        <v>0</v>
      </c>
      <c r="Z10" s="121">
        <v>0</v>
      </c>
      <c r="AA10" s="122">
        <v>0</v>
      </c>
      <c r="AB10" s="123">
        <f>Ship[[#This Row],[Column19]]-Ship[[#This Row],[Column20]]</f>
        <v>0</v>
      </c>
      <c r="AC10" s="82">
        <f t="shared" ref="AC10:AC12" si="1">IFERROR(AA10/Z10,0)</f>
        <v>0</v>
      </c>
      <c r="AD10" s="124">
        <v>0</v>
      </c>
      <c r="AE10" s="125">
        <v>0</v>
      </c>
      <c r="AF10" s="123">
        <f>Ship[[#This Row],[Column24]]-Ship[[#This Row],[Column30]]</f>
        <v>0</v>
      </c>
      <c r="AG10" s="82">
        <f>IFERROR(Ship[[#This Row],[Column30]]/Ship[[#This Row],[Column24]],0)</f>
        <v>0</v>
      </c>
      <c r="AH10" s="6">
        <f>IFERROR(Ship[[#This Row],[Column24]]/Ship[[#This Row],[Column19]],0)</f>
        <v>0</v>
      </c>
      <c r="AI10" s="130"/>
    </row>
    <row r="11" spans="1:35" ht="83.5" customHeight="1" x14ac:dyDescent="0.2">
      <c r="A11" s="4">
        <v>3</v>
      </c>
      <c r="B11" s="62"/>
      <c r="C11" s="111" t="s">
        <v>121</v>
      </c>
      <c r="D11" s="111"/>
      <c r="E11" s="111"/>
      <c r="F11" s="111"/>
      <c r="G11" s="126"/>
      <c r="H11" s="127"/>
      <c r="I11" s="118">
        <v>0</v>
      </c>
      <c r="J11" s="119">
        <v>0</v>
      </c>
      <c r="K11" s="120">
        <f>Ship[[#This Row],[Column7]]-Ship[[#This Row],[Column8]]</f>
        <v>0</v>
      </c>
      <c r="L11" s="81">
        <f>IFERROR(Ship[[#This Row],[Column8]]/Ship[[#This Row],[Column7]],0)</f>
        <v>0</v>
      </c>
      <c r="M11" s="118">
        <v>0</v>
      </c>
      <c r="N11" s="119">
        <v>0</v>
      </c>
      <c r="O11" s="120">
        <f>Ship[[#This Row],[Column10]]-Ship[[#This Row],[Column11]]</f>
        <v>0</v>
      </c>
      <c r="P11" s="81">
        <f>IFERROR(N11/M11,0)</f>
        <v>0</v>
      </c>
      <c r="Q11" s="81">
        <f>IFERROR(Ship[[#This Row],[Column10]]/Ship[[#This Row],[Column7]],0)</f>
        <v>0</v>
      </c>
      <c r="R11" s="118">
        <v>0</v>
      </c>
      <c r="S11" s="119">
        <v>0</v>
      </c>
      <c r="T11" s="120">
        <f>Ship[[#This Row],[Column23]]-Ship[[#This Row],[Column27]]</f>
        <v>0</v>
      </c>
      <c r="U11" s="81">
        <f>IFERROR(Ship[[#This Row],[Column27]]/Ship[[#This Row],[Column23]],0)</f>
        <v>0</v>
      </c>
      <c r="V11" s="118">
        <v>0</v>
      </c>
      <c r="W11" s="119">
        <v>0</v>
      </c>
      <c r="X11" s="120">
        <f>Ship[[#This Row],[Column15]]-Ship[[#This Row],[Column16]]</f>
        <v>0</v>
      </c>
      <c r="Y11" s="81">
        <f t="shared" si="0"/>
        <v>0</v>
      </c>
      <c r="Z11" s="121">
        <v>0</v>
      </c>
      <c r="AA11" s="122">
        <v>0</v>
      </c>
      <c r="AB11" s="123">
        <f>Ship[[#This Row],[Column19]]-Ship[[#This Row],[Column20]]</f>
        <v>0</v>
      </c>
      <c r="AC11" s="82">
        <f t="shared" si="1"/>
        <v>0</v>
      </c>
      <c r="AD11" s="124">
        <v>0</v>
      </c>
      <c r="AE11" s="125">
        <v>0</v>
      </c>
      <c r="AF11" s="123">
        <f>Ship[[#This Row],[Column24]]-Ship[[#This Row],[Column30]]</f>
        <v>0</v>
      </c>
      <c r="AG11" s="82">
        <f>IFERROR(Ship[[#This Row],[Column30]]/Ship[[#This Row],[Column24]],0)</f>
        <v>0</v>
      </c>
      <c r="AH11" s="6">
        <f>IFERROR(Ship[[#This Row],[Column24]]/Ship[[#This Row],[Column19]],0)</f>
        <v>0</v>
      </c>
      <c r="AI11" s="36"/>
    </row>
    <row r="12" spans="1:35" ht="73" thickBot="1" x14ac:dyDescent="0.25">
      <c r="A12" s="4">
        <v>4</v>
      </c>
      <c r="B12" s="62"/>
      <c r="C12" s="111" t="s">
        <v>121</v>
      </c>
      <c r="D12" s="111"/>
      <c r="E12" s="111"/>
      <c r="F12" s="111"/>
      <c r="G12" s="126"/>
      <c r="H12" s="127"/>
      <c r="I12" s="118">
        <v>0</v>
      </c>
      <c r="J12" s="119">
        <v>0</v>
      </c>
      <c r="K12" s="120">
        <f>Ship[[#This Row],[Column7]]-Ship[[#This Row],[Column8]]</f>
        <v>0</v>
      </c>
      <c r="L12" s="81">
        <f>IFERROR(Ship[[#This Row],[Column8]]/Ship[[#This Row],[Column7]],0)</f>
        <v>0</v>
      </c>
      <c r="M12" s="118">
        <v>0</v>
      </c>
      <c r="N12" s="119">
        <v>0</v>
      </c>
      <c r="O12" s="120">
        <f>Ship[[#This Row],[Column10]]-Ship[[#This Row],[Column11]]</f>
        <v>0</v>
      </c>
      <c r="P12" s="81">
        <f>IFERROR(N12/M12,0)</f>
        <v>0</v>
      </c>
      <c r="Q12" s="81">
        <f>IFERROR(Ship[[#This Row],[Column10]]/Ship[[#This Row],[Column7]],0)</f>
        <v>0</v>
      </c>
      <c r="R12" s="118">
        <v>0</v>
      </c>
      <c r="S12" s="119">
        <v>0</v>
      </c>
      <c r="T12" s="120">
        <f>Ship[[#This Row],[Column23]]-Ship[[#This Row],[Column27]]</f>
        <v>0</v>
      </c>
      <c r="U12" s="81">
        <f>IFERROR(Ship[[#This Row],[Column27]]/Ship[[#This Row],[Column23]],0)</f>
        <v>0</v>
      </c>
      <c r="V12" s="118">
        <v>0</v>
      </c>
      <c r="W12" s="119">
        <v>0</v>
      </c>
      <c r="X12" s="120">
        <f>Ship[[#This Row],[Column15]]-Ship[[#This Row],[Column16]]</f>
        <v>0</v>
      </c>
      <c r="Y12" s="81">
        <f t="shared" si="0"/>
        <v>0</v>
      </c>
      <c r="Z12" s="121">
        <v>0</v>
      </c>
      <c r="AA12" s="122">
        <v>0</v>
      </c>
      <c r="AB12" s="123">
        <f>Ship[[#This Row],[Column19]]-Ship[[#This Row],[Column20]]</f>
        <v>0</v>
      </c>
      <c r="AC12" s="82">
        <f t="shared" si="1"/>
        <v>0</v>
      </c>
      <c r="AD12" s="124">
        <v>0</v>
      </c>
      <c r="AE12" s="125">
        <v>0</v>
      </c>
      <c r="AF12" s="123">
        <f>Ship[[#This Row],[Column24]]-Ship[[#This Row],[Column30]]</f>
        <v>0</v>
      </c>
      <c r="AG12" s="82">
        <f>IFERROR(Ship[[#This Row],[Column30]]/Ship[[#This Row],[Column24]],0)</f>
        <v>0</v>
      </c>
      <c r="AH12" s="6">
        <f>IFERROR(Ship[[#This Row],[Column24]]/Ship[[#This Row],[Column19]],0)</f>
        <v>0</v>
      </c>
      <c r="AI12" s="7"/>
    </row>
    <row r="13" spans="1:35" ht="83.5" customHeight="1" thickBot="1" x14ac:dyDescent="0.25">
      <c r="A13" s="261"/>
      <c r="B13" s="281"/>
      <c r="C13" s="282"/>
      <c r="D13" s="377" t="s">
        <v>70</v>
      </c>
      <c r="E13" s="284"/>
      <c r="F13" s="285"/>
      <c r="G13" s="378"/>
      <c r="H13" s="379"/>
      <c r="I13" s="349">
        <f>SUBTOTAL(109,Ship[Column7])</f>
        <v>0</v>
      </c>
      <c r="J13" s="350">
        <f>SUBTOTAL(109,Ship[Column8])</f>
        <v>0</v>
      </c>
      <c r="K13" s="350">
        <f>SUBTOTAL(109,Ship[Column9])</f>
        <v>0</v>
      </c>
      <c r="L13" s="380">
        <f>IFERROR(Ship[[#Totals],[Column8]]/Ship[[#Totals],[Column7]],0)</f>
        <v>0</v>
      </c>
      <c r="M13" s="349">
        <f>SUBTOTAL(109,Ship[Column10])</f>
        <v>0</v>
      </c>
      <c r="N13" s="350">
        <f>SUBTOTAL(109,Ship[Column11])</f>
        <v>0</v>
      </c>
      <c r="O13" s="350">
        <f>SUBTOTAL(109,Ship[Column12])</f>
        <v>0</v>
      </c>
      <c r="P13" s="380">
        <f>IFERROR(Ship[[#Totals],[Column11]]/Ship[[#Totals],[Column10]],0)</f>
        <v>0</v>
      </c>
      <c r="Q13" s="380">
        <f>IFERROR(Ship[[#Totals],[Column10]]/Ship[[#Totals],[Column7]],0)</f>
        <v>0</v>
      </c>
      <c r="R13" s="349">
        <f>SUBTOTAL(109,Ship[Column23])</f>
        <v>0</v>
      </c>
      <c r="S13" s="352">
        <f>SUBTOTAL(109,Ship[Column27])</f>
        <v>0</v>
      </c>
      <c r="T13" s="352">
        <f>SUBTOTAL(109,Ship[Column28])</f>
        <v>0</v>
      </c>
      <c r="U13" s="405">
        <f>IFERROR(Ship[[#Totals],[Column27]]/Ship[[#Totals],[Column23]],0)</f>
        <v>0</v>
      </c>
      <c r="V13" s="349">
        <f>SUBTOTAL(109,Ship[Column15])</f>
        <v>0</v>
      </c>
      <c r="W13" s="352">
        <f>SUBTOTAL(109,Ship[Column16])</f>
        <v>0</v>
      </c>
      <c r="X13" s="352">
        <f>SUBTOTAL(109,Ship[Column17])</f>
        <v>0</v>
      </c>
      <c r="Y13" s="405" t="s">
        <v>143</v>
      </c>
      <c r="Z13" s="381">
        <f>SUBTOTAL(109,Ship[Column19])</f>
        <v>0</v>
      </c>
      <c r="AA13" s="354">
        <f>SUBTOTAL(109,Ship[Column20])</f>
        <v>0</v>
      </c>
      <c r="AB13" s="354">
        <f>SUBTOTAL(109,Ship[Column21])</f>
        <v>0</v>
      </c>
      <c r="AC13" s="351">
        <f>IFERROR(Ship[[#Totals],[Column20]]/Ship[[#Totals],[Column19]],0)</f>
        <v>0</v>
      </c>
      <c r="AD13" s="353">
        <f>SUBTOTAL(109,Ship[Column24])</f>
        <v>0</v>
      </c>
      <c r="AE13" s="382">
        <f>SUBTOTAL(109,Ship[Column30])</f>
        <v>0</v>
      </c>
      <c r="AF13" s="354">
        <f>SUBTOTAL(109,Ship[Column29])</f>
        <v>0</v>
      </c>
      <c r="AG13" s="406">
        <f>IFERROR(Ship[[#Totals],[Column30]]/Ship[[#Totals],[Column24]],0)</f>
        <v>0</v>
      </c>
      <c r="AH13" s="356">
        <f>IFERROR(Ship[[#Totals],[Column24]]/Ship[[#Totals],[Column19]],0)</f>
        <v>0</v>
      </c>
      <c r="AI13" s="357"/>
    </row>
    <row r="14" spans="1:35" x14ac:dyDescent="0.2">
      <c r="A14" s="194" t="s">
        <v>122</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sheetData>
  <sheetProtection formatRows="0" insertRows="0" deleteRows="0" sort="0" autoFilter="0" pivotTables="0"/>
  <mergeCells count="11">
    <mergeCell ref="AD7:AG7"/>
    <mergeCell ref="V7:Y7"/>
    <mergeCell ref="Z7:AC7"/>
    <mergeCell ref="A7:A8"/>
    <mergeCell ref="B7:B8"/>
    <mergeCell ref="C7:C8"/>
    <mergeCell ref="D7:F7"/>
    <mergeCell ref="G7:G8"/>
    <mergeCell ref="H7:H8"/>
    <mergeCell ref="I7:L7"/>
    <mergeCell ref="R7:U7"/>
  </mergeCells>
  <dataValidations count="3">
    <dataValidation allowBlank="1" showInputMessage="1" showErrorMessage="1" prompt="Please fill in the cell with text" sqref="B9:F12" xr:uid="{CE5717E9-3A55-4B3C-A1E4-4DF4FF70D2F3}"/>
    <dataValidation type="decimal" allowBlank="1" showInputMessage="1" showErrorMessage="1" prompt="Input only numbers" sqref="I9:J12 M9:N12 R9:S12 V9:W12 Z9:AA12 AD9:AE12" xr:uid="{B9A56802-323E-4408-9212-E0D82BD4FADC}">
      <formula1>0</formula1>
      <formula2>10000000000</formula2>
    </dataValidation>
    <dataValidation type="custom" allowBlank="1" showInputMessage="1" showErrorMessage="1" errorTitle="NOTICE!" error="Please don't input any value in this cell, there is formula" promptTitle="NOTICE!" prompt="Please don't input any value in this cell, there is formula" sqref="K9:L12 O9:Q12 T9:U12 X9:Y12 AB9:AC12 AF9:AG12" xr:uid="{8275444E-D202-443A-86A7-28DB9510C479}">
      <formula1>"Please don't input any value in this cell, there is formula"</formula1>
    </dataValidation>
  </dataValidations>
  <pageMargins left="0.7" right="0.7" top="0.75" bottom="0.75" header="0.3" footer="0.3"/>
  <pageSetup paperSize="9" orientation="portrait" verticalDpi="4294967295"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7643F-CCF7-41A5-8FCA-F9FC702F3605}">
  <dimension ref="A1:AI14"/>
  <sheetViews>
    <sheetView view="pageBreakPreview" topLeftCell="C6" zoomScale="40" zoomScaleNormal="55" zoomScaleSheetLayoutView="40" workbookViewId="0">
      <selection activeCell="I9" sqref="I9"/>
    </sheetView>
  </sheetViews>
  <sheetFormatPr baseColWidth="10" defaultColWidth="8.6640625" defaultRowHeight="17" x14ac:dyDescent="0.2"/>
  <cols>
    <col min="1" max="1" width="13.5" style="2" customWidth="1"/>
    <col min="2" max="2" width="32.33203125" style="2" customWidth="1"/>
    <col min="3" max="3" width="33.5" style="2" customWidth="1"/>
    <col min="4" max="4" width="29.5" style="2" customWidth="1"/>
    <col min="5" max="6" width="27.33203125" style="2" customWidth="1"/>
    <col min="7" max="8" width="36.1640625" style="2" customWidth="1"/>
    <col min="9" max="12" width="16.83203125" style="2" customWidth="1"/>
    <col min="13" max="15" width="14.83203125" style="2" customWidth="1"/>
    <col min="16" max="21" width="14.5" style="2" customWidth="1"/>
    <col min="22" max="22" width="20.33203125" style="2" customWidth="1"/>
    <col min="23" max="25" width="14.83203125" style="2" customWidth="1"/>
    <col min="26" max="28" width="15.1640625" style="2" customWidth="1"/>
    <col min="29" max="29" width="14.83203125" style="2" customWidth="1"/>
    <col min="30" max="30" width="33.5" style="2" customWidth="1"/>
    <col min="31" max="33" width="21" style="2" customWidth="1"/>
    <col min="34" max="34" width="27" style="2" customWidth="1"/>
    <col min="35" max="35" width="14.83203125" style="2" customWidth="1"/>
    <col min="36" max="16384" width="8.6640625" style="102"/>
  </cols>
  <sheetData>
    <row r="1" spans="1:35" ht="18" hidden="1" thickBot="1" x14ac:dyDescent="0.25">
      <c r="B1" s="3" t="s">
        <v>123</v>
      </c>
    </row>
    <row r="2" spans="1:35" hidden="1" x14ac:dyDescent="0.2">
      <c r="B2" s="26" t="s">
        <v>40</v>
      </c>
      <c r="C2" s="238">
        <f>'#1'!C2</f>
        <v>0</v>
      </c>
      <c r="D2" s="25" t="s">
        <v>41</v>
      </c>
      <c r="E2" s="239">
        <f>'#2'!E2</f>
        <v>0</v>
      </c>
      <c r="F2" s="105"/>
    </row>
    <row r="3" spans="1:35" hidden="1" x14ac:dyDescent="0.2">
      <c r="B3" s="106" t="s">
        <v>42</v>
      </c>
      <c r="C3" s="240">
        <f>'#1'!C3</f>
        <v>0</v>
      </c>
      <c r="D3" s="105" t="s">
        <v>43</v>
      </c>
      <c r="E3" s="241">
        <f>'#2'!E3</f>
        <v>0</v>
      </c>
      <c r="F3" s="105"/>
    </row>
    <row r="4" spans="1:35" ht="35" hidden="1" thickBot="1" x14ac:dyDescent="0.25">
      <c r="B4" s="13" t="s">
        <v>44</v>
      </c>
      <c r="C4" s="108">
        <f>'#1'!C4</f>
        <v>0</v>
      </c>
      <c r="D4" s="109" t="s">
        <v>45</v>
      </c>
      <c r="E4" s="242">
        <f>'#2'!E4</f>
        <v>0</v>
      </c>
      <c r="F4" s="15"/>
    </row>
    <row r="5" spans="1:35" ht="18" hidden="1" thickBot="1" x14ac:dyDescent="0.25"/>
    <row r="6" spans="1:35" s="2" customFormat="1" ht="83.5" customHeight="1" thickBot="1" x14ac:dyDescent="0.25">
      <c r="A6" s="525" t="s">
        <v>144</v>
      </c>
      <c r="B6" s="522"/>
      <c r="C6" s="522"/>
      <c r="D6" s="522"/>
      <c r="E6" s="522"/>
      <c r="F6" s="522"/>
      <c r="G6" s="522"/>
      <c r="H6" s="522"/>
      <c r="I6" s="522"/>
      <c r="J6" s="522"/>
      <c r="K6" s="522"/>
      <c r="L6" s="522"/>
      <c r="M6" s="522"/>
      <c r="N6" s="522"/>
      <c r="O6" s="522"/>
      <c r="P6" s="522"/>
      <c r="Q6" s="522"/>
      <c r="R6" s="522"/>
      <c r="S6" s="522"/>
      <c r="T6" s="522"/>
      <c r="U6" s="522"/>
      <c r="V6" s="522"/>
      <c r="W6" s="522"/>
      <c r="X6" s="522"/>
      <c r="Y6" s="522"/>
      <c r="Z6" s="522"/>
      <c r="AA6" s="522"/>
      <c r="AB6" s="522"/>
      <c r="AC6" s="522"/>
      <c r="AD6" s="522"/>
      <c r="AE6" s="522"/>
      <c r="AF6" s="522"/>
      <c r="AG6" s="522"/>
      <c r="AH6" s="522"/>
      <c r="AI6" s="523"/>
    </row>
    <row r="7" spans="1:35" s="2" customFormat="1" ht="83.5" customHeight="1" thickBot="1" x14ac:dyDescent="0.25">
      <c r="A7" s="623" t="s">
        <v>50</v>
      </c>
      <c r="B7" s="625" t="s">
        <v>116</v>
      </c>
      <c r="C7" s="627" t="s">
        <v>52</v>
      </c>
      <c r="D7" s="629" t="s">
        <v>53</v>
      </c>
      <c r="E7" s="630"/>
      <c r="F7" s="631"/>
      <c r="G7" s="632" t="s">
        <v>80</v>
      </c>
      <c r="H7" s="664" t="s">
        <v>81</v>
      </c>
      <c r="I7" s="668" t="s">
        <v>129</v>
      </c>
      <c r="J7" s="666"/>
      <c r="K7" s="666"/>
      <c r="L7" s="667"/>
      <c r="M7" s="511" t="s">
        <v>108</v>
      </c>
      <c r="N7" s="512"/>
      <c r="O7" s="512"/>
      <c r="P7" s="513"/>
      <c r="Q7" s="500" t="s">
        <v>150</v>
      </c>
      <c r="R7" s="668" t="s">
        <v>109</v>
      </c>
      <c r="S7" s="666"/>
      <c r="T7" s="666"/>
      <c r="U7" s="667"/>
      <c r="V7" s="629" t="s">
        <v>110</v>
      </c>
      <c r="W7" s="630"/>
      <c r="X7" s="630"/>
      <c r="Y7" s="631"/>
      <c r="Z7" s="636" t="s">
        <v>57</v>
      </c>
      <c r="AA7" s="637"/>
      <c r="AB7" s="637"/>
      <c r="AC7" s="638"/>
      <c r="AD7" s="661" t="s">
        <v>119</v>
      </c>
      <c r="AE7" s="662"/>
      <c r="AF7" s="662"/>
      <c r="AG7" s="663"/>
      <c r="AH7" s="500" t="s">
        <v>151</v>
      </c>
      <c r="AI7" s="315" t="s">
        <v>120</v>
      </c>
    </row>
    <row r="8" spans="1:35" s="2" customFormat="1" ht="83.5" customHeight="1" thickBot="1" x14ac:dyDescent="0.25">
      <c r="A8" s="624"/>
      <c r="B8" s="626"/>
      <c r="C8" s="628"/>
      <c r="D8" s="201" t="s">
        <v>59</v>
      </c>
      <c r="E8" s="202" t="s">
        <v>86</v>
      </c>
      <c r="F8" s="203" t="s">
        <v>87</v>
      </c>
      <c r="G8" s="633"/>
      <c r="H8" s="665"/>
      <c r="I8" s="199" t="s">
        <v>64</v>
      </c>
      <c r="J8" s="204" t="s">
        <v>88</v>
      </c>
      <c r="K8" s="204" t="s">
        <v>89</v>
      </c>
      <c r="L8" s="200" t="s">
        <v>47</v>
      </c>
      <c r="M8" s="199" t="s">
        <v>64</v>
      </c>
      <c r="N8" s="204" t="s">
        <v>88</v>
      </c>
      <c r="O8" s="204" t="s">
        <v>89</v>
      </c>
      <c r="P8" s="200" t="s">
        <v>47</v>
      </c>
      <c r="Q8" s="503" t="s">
        <v>96</v>
      </c>
      <c r="R8" s="199" t="s">
        <v>64</v>
      </c>
      <c r="S8" s="204" t="s">
        <v>88</v>
      </c>
      <c r="T8" s="204" t="s">
        <v>89</v>
      </c>
      <c r="U8" s="200" t="s">
        <v>47</v>
      </c>
      <c r="V8" s="199" t="s">
        <v>64</v>
      </c>
      <c r="W8" s="204" t="s">
        <v>88</v>
      </c>
      <c r="X8" s="204" t="s">
        <v>89</v>
      </c>
      <c r="Y8" s="200" t="s">
        <v>47</v>
      </c>
      <c r="Z8" s="199" t="s">
        <v>90</v>
      </c>
      <c r="AA8" s="204" t="s">
        <v>91</v>
      </c>
      <c r="AB8" s="204" t="s">
        <v>92</v>
      </c>
      <c r="AC8" s="200" t="s">
        <v>47</v>
      </c>
      <c r="AD8" s="199" t="s">
        <v>90</v>
      </c>
      <c r="AE8" s="205" t="s">
        <v>93</v>
      </c>
      <c r="AF8" s="204" t="s">
        <v>94</v>
      </c>
      <c r="AG8" s="204" t="s">
        <v>95</v>
      </c>
      <c r="AH8" s="204" t="s">
        <v>96</v>
      </c>
      <c r="AI8" s="200" t="s">
        <v>97</v>
      </c>
    </row>
    <row r="9" spans="1:35" ht="83.5" customHeight="1" x14ac:dyDescent="0.2">
      <c r="A9" s="246">
        <v>1</v>
      </c>
      <c r="B9" s="62"/>
      <c r="C9" s="111" t="s">
        <v>121</v>
      </c>
      <c r="D9" s="111"/>
      <c r="E9" s="111"/>
      <c r="F9" s="111"/>
      <c r="G9" s="112"/>
      <c r="H9" s="113"/>
      <c r="I9" s="317">
        <v>2</v>
      </c>
      <c r="J9" s="10">
        <v>0</v>
      </c>
      <c r="K9" s="318">
        <f>Others[[#This Row],[Column7]]-Others[[#This Row],[Column8]]</f>
        <v>2</v>
      </c>
      <c r="L9" s="319">
        <f>IFERROR(Others[[#This Row],[Column8]]/Others[[#This Row],[Column7]],0)</f>
        <v>0</v>
      </c>
      <c r="M9" s="317">
        <v>0</v>
      </c>
      <c r="N9" s="10">
        <v>0</v>
      </c>
      <c r="O9" s="318">
        <f>Others[[#This Row],[Column10]]-Others[[#This Row],[Column11]]</f>
        <v>0</v>
      </c>
      <c r="P9" s="319">
        <f>IFERROR(N9/M9,0)</f>
        <v>0</v>
      </c>
      <c r="Q9" s="319">
        <f>IFERROR(Others[[#This Row],[Column10]]/Others[[#This Row],[Column7]],0)</f>
        <v>0</v>
      </c>
      <c r="R9" s="317">
        <v>0</v>
      </c>
      <c r="S9" s="10">
        <v>0</v>
      </c>
      <c r="T9" s="318">
        <f>Others[[#This Row],[Column23]]-Others[[#This Row],[Column27]]</f>
        <v>0</v>
      </c>
      <c r="U9" s="389">
        <f>IFERROR(Others[[#This Row],[Column27]]/Others[[#This Row],[Column23]],0)</f>
        <v>0</v>
      </c>
      <c r="V9" s="317">
        <v>0</v>
      </c>
      <c r="W9" s="10">
        <v>0</v>
      </c>
      <c r="X9" s="318">
        <f>Others[[#This Row],[Column15]]-Others[[#This Row],[Column16]]</f>
        <v>0</v>
      </c>
      <c r="Y9" s="389">
        <f>IFERROR(W9/V9,0)</f>
        <v>0</v>
      </c>
      <c r="Z9" s="320">
        <v>0</v>
      </c>
      <c r="AA9" s="34">
        <v>0</v>
      </c>
      <c r="AB9" s="321">
        <f>Others[[#This Row],[Column19]]-Others[[#This Row],[Column20]]</f>
        <v>0</v>
      </c>
      <c r="AC9" s="322">
        <f>IFERROR(AA9/Z9,0)</f>
        <v>0</v>
      </c>
      <c r="AD9" s="323">
        <v>0</v>
      </c>
      <c r="AE9" s="324">
        <v>0</v>
      </c>
      <c r="AF9" s="321">
        <f>Others[[#This Row],[Column24]]-Others[[#This Row],[Column30]]</f>
        <v>0</v>
      </c>
      <c r="AG9" s="390">
        <f>IFERROR(Others[[#This Row],[Column30]]/Others[[#This Row],[Column24]],0)</f>
        <v>0</v>
      </c>
      <c r="AH9" s="35">
        <f>IFERROR(Others[[#This Row],[Column24]]/Others[[#This Row],[Column19]],0)</f>
        <v>0</v>
      </c>
      <c r="AI9" s="325"/>
    </row>
    <row r="10" spans="1:35" ht="83.5" customHeight="1" x14ac:dyDescent="0.2">
      <c r="A10" s="246">
        <v>2</v>
      </c>
      <c r="B10" s="62"/>
      <c r="C10" s="111" t="s">
        <v>121</v>
      </c>
      <c r="D10" s="111"/>
      <c r="E10" s="111"/>
      <c r="F10" s="111"/>
      <c r="G10" s="126"/>
      <c r="H10" s="127"/>
      <c r="I10" s="118">
        <v>0</v>
      </c>
      <c r="J10" s="119">
        <v>0</v>
      </c>
      <c r="K10" s="120">
        <f>Others[[#This Row],[Column7]]-Others[[#This Row],[Column8]]</f>
        <v>0</v>
      </c>
      <c r="L10" s="81">
        <f>IFERROR(Others[[#This Row],[Column8]]/Others[[#This Row],[Column7]],0)</f>
        <v>0</v>
      </c>
      <c r="M10" s="118">
        <v>0</v>
      </c>
      <c r="N10" s="119">
        <v>0</v>
      </c>
      <c r="O10" s="120">
        <f>Others[[#This Row],[Column10]]-Others[[#This Row],[Column11]]</f>
        <v>0</v>
      </c>
      <c r="P10" s="81">
        <f t="shared" ref="P10:P12" si="0">IFERROR(N10/M10,0)</f>
        <v>0</v>
      </c>
      <c r="Q10" s="81">
        <f>IFERROR(Others[[#This Row],[Column10]]/Others[[#This Row],[Column7]],0)</f>
        <v>0</v>
      </c>
      <c r="R10" s="118">
        <v>0</v>
      </c>
      <c r="S10" s="119">
        <v>0</v>
      </c>
      <c r="T10" s="120">
        <f>Others[[#This Row],[Column23]]-Others[[#This Row],[Column27]]</f>
        <v>0</v>
      </c>
      <c r="U10" s="256">
        <f>IFERROR(Others[[#This Row],[Column27]]/Others[[#This Row],[Column23]],0)</f>
        <v>0</v>
      </c>
      <c r="V10" s="118">
        <v>0</v>
      </c>
      <c r="W10" s="119">
        <v>0</v>
      </c>
      <c r="X10" s="120">
        <f>Others[[#This Row],[Column15]]-Others[[#This Row],[Column16]]</f>
        <v>0</v>
      </c>
      <c r="Y10" s="256">
        <f t="shared" ref="Y10:Y12" si="1">IFERROR(W10/V10,0)</f>
        <v>0</v>
      </c>
      <c r="Z10" s="121">
        <v>0</v>
      </c>
      <c r="AA10" s="122">
        <v>0</v>
      </c>
      <c r="AB10" s="123">
        <f>Others[[#This Row],[Column19]]-Others[[#This Row],[Column20]]</f>
        <v>0</v>
      </c>
      <c r="AC10" s="82">
        <f t="shared" ref="AC10:AC12" si="2">IFERROR(AA10/Z10,0)</f>
        <v>0</v>
      </c>
      <c r="AD10" s="124">
        <v>0</v>
      </c>
      <c r="AE10" s="125">
        <v>0</v>
      </c>
      <c r="AF10" s="123">
        <f>Others[[#This Row],[Column24]]-Others[[#This Row],[Column30]]</f>
        <v>0</v>
      </c>
      <c r="AG10" s="86">
        <f>IFERROR(Others[[#This Row],[Column30]]/Others[[#This Row],[Column24]],0)</f>
        <v>0</v>
      </c>
      <c r="AH10" s="6">
        <f>IFERROR(Others[[#This Row],[Column24]]/Others[[#This Row],[Column19]],0)</f>
        <v>0</v>
      </c>
      <c r="AI10" s="130"/>
    </row>
    <row r="11" spans="1:35" ht="83.5" customHeight="1" x14ac:dyDescent="0.2">
      <c r="A11" s="246">
        <v>3</v>
      </c>
      <c r="B11" s="62"/>
      <c r="C11" s="111" t="s">
        <v>121</v>
      </c>
      <c r="D11" s="111"/>
      <c r="E11" s="111"/>
      <c r="F11" s="111"/>
      <c r="G11" s="126"/>
      <c r="H11" s="127"/>
      <c r="I11" s="118">
        <v>0</v>
      </c>
      <c r="J11" s="119">
        <v>0</v>
      </c>
      <c r="K11" s="120">
        <f>Others[[#This Row],[Column7]]-Others[[#This Row],[Column8]]</f>
        <v>0</v>
      </c>
      <c r="L11" s="81">
        <f>IFERROR(Others[[#This Row],[Column8]]/Others[[#This Row],[Column7]],0)</f>
        <v>0</v>
      </c>
      <c r="M11" s="118">
        <v>0</v>
      </c>
      <c r="N11" s="119">
        <v>0</v>
      </c>
      <c r="O11" s="120">
        <f>Others[[#This Row],[Column10]]-Others[[#This Row],[Column11]]</f>
        <v>0</v>
      </c>
      <c r="P11" s="81">
        <f t="shared" si="0"/>
        <v>0</v>
      </c>
      <c r="Q11" s="81">
        <f>IFERROR(Others[[#This Row],[Column10]]/Others[[#This Row],[Column7]],0)</f>
        <v>0</v>
      </c>
      <c r="R11" s="118">
        <v>0</v>
      </c>
      <c r="S11" s="119">
        <v>0</v>
      </c>
      <c r="T11" s="120">
        <f>Others[[#This Row],[Column23]]-Others[[#This Row],[Column27]]</f>
        <v>0</v>
      </c>
      <c r="U11" s="256">
        <f>IFERROR(Others[[#This Row],[Column27]]/Others[[#This Row],[Column23]],0)</f>
        <v>0</v>
      </c>
      <c r="V11" s="118">
        <v>0</v>
      </c>
      <c r="W11" s="119">
        <v>0</v>
      </c>
      <c r="X11" s="120">
        <f>Others[[#This Row],[Column15]]-Others[[#This Row],[Column16]]</f>
        <v>0</v>
      </c>
      <c r="Y11" s="256">
        <f t="shared" si="1"/>
        <v>0</v>
      </c>
      <c r="Z11" s="121">
        <v>0</v>
      </c>
      <c r="AA11" s="122">
        <v>0</v>
      </c>
      <c r="AB11" s="123">
        <f>Others[[#This Row],[Column19]]-Others[[#This Row],[Column20]]</f>
        <v>0</v>
      </c>
      <c r="AC11" s="82">
        <f t="shared" si="2"/>
        <v>0</v>
      </c>
      <c r="AD11" s="124">
        <v>0</v>
      </c>
      <c r="AE11" s="125">
        <v>0</v>
      </c>
      <c r="AF11" s="123">
        <f>Others[[#This Row],[Column24]]-Others[[#This Row],[Column30]]</f>
        <v>0</v>
      </c>
      <c r="AG11" s="86">
        <f>IFERROR(Others[[#This Row],[Column30]]/Others[[#This Row],[Column24]],0)</f>
        <v>0</v>
      </c>
      <c r="AH11" s="6">
        <f>IFERROR(Others[[#This Row],[Column24]]/Others[[#This Row],[Column19]],0)</f>
        <v>0</v>
      </c>
      <c r="AI11" s="36"/>
    </row>
    <row r="12" spans="1:35" ht="73" thickBot="1" x14ac:dyDescent="0.25">
      <c r="A12" s="246">
        <v>4</v>
      </c>
      <c r="B12" s="62"/>
      <c r="C12" s="111" t="s">
        <v>121</v>
      </c>
      <c r="D12" s="111"/>
      <c r="E12" s="111"/>
      <c r="F12" s="111"/>
      <c r="G12" s="131"/>
      <c r="H12" s="132"/>
      <c r="I12" s="137">
        <v>0</v>
      </c>
      <c r="J12" s="75">
        <v>0</v>
      </c>
      <c r="K12" s="138">
        <f>Others[[#This Row],[Column7]]-Others[[#This Row],[Column8]]</f>
        <v>0</v>
      </c>
      <c r="L12" s="83">
        <f>IFERROR(Others[[#This Row],[Column8]]/Others[[#This Row],[Column7]],0)</f>
        <v>0</v>
      </c>
      <c r="M12" s="137">
        <v>0</v>
      </c>
      <c r="N12" s="75">
        <v>0</v>
      </c>
      <c r="O12" s="138">
        <f>Others[[#This Row],[Column10]]-Others[[#This Row],[Column11]]</f>
        <v>0</v>
      </c>
      <c r="P12" s="83">
        <f t="shared" si="0"/>
        <v>0</v>
      </c>
      <c r="Q12" s="83">
        <f>IFERROR(Others[[#This Row],[Column10]]/Others[[#This Row],[Column7]],0)</f>
        <v>0</v>
      </c>
      <c r="R12" s="137">
        <v>0</v>
      </c>
      <c r="S12" s="75">
        <v>0</v>
      </c>
      <c r="T12" s="138">
        <f>Others[[#This Row],[Column23]]-Others[[#This Row],[Column27]]</f>
        <v>0</v>
      </c>
      <c r="U12" s="387">
        <f>IFERROR(Others[[#This Row],[Column27]]/Others[[#This Row],[Column23]],0)</f>
        <v>0</v>
      </c>
      <c r="V12" s="137">
        <v>0</v>
      </c>
      <c r="W12" s="75">
        <v>0</v>
      </c>
      <c r="X12" s="138">
        <f>Others[[#This Row],[Column15]]-Others[[#This Row],[Column16]]</f>
        <v>0</v>
      </c>
      <c r="Y12" s="387">
        <f t="shared" si="1"/>
        <v>0</v>
      </c>
      <c r="Z12" s="139">
        <v>0</v>
      </c>
      <c r="AA12" s="140">
        <v>0</v>
      </c>
      <c r="AB12" s="141">
        <f>Others[[#This Row],[Column19]]-Others[[#This Row],[Column20]]</f>
        <v>0</v>
      </c>
      <c r="AC12" s="84">
        <f t="shared" si="2"/>
        <v>0</v>
      </c>
      <c r="AD12" s="142">
        <v>0</v>
      </c>
      <c r="AE12" s="143">
        <v>0</v>
      </c>
      <c r="AF12" s="141">
        <f>Others[[#This Row],[Column24]]-Others[[#This Row],[Column30]]</f>
        <v>0</v>
      </c>
      <c r="AG12" s="388">
        <f>IFERROR(Others[[#This Row],[Column30]]/Others[[#This Row],[Column24]],0)</f>
        <v>0</v>
      </c>
      <c r="AH12" s="144">
        <f>IFERROR(Others[[#This Row],[Column24]]/Others[[#This Row],[Column19]],0)</f>
        <v>0</v>
      </c>
      <c r="AI12" s="85"/>
    </row>
    <row r="13" spans="1:35" ht="83.5" customHeight="1" thickBot="1" x14ac:dyDescent="0.25">
      <c r="A13" s="261"/>
      <c r="B13" s="281"/>
      <c r="C13" s="282"/>
      <c r="D13" s="377" t="s">
        <v>70</v>
      </c>
      <c r="E13" s="284"/>
      <c r="F13" s="285"/>
      <c r="G13" s="383"/>
      <c r="H13" s="384"/>
      <c r="I13" s="288">
        <f>SUBTOTAL(109,Others[Column7])</f>
        <v>2</v>
      </c>
      <c r="J13" s="289">
        <f>SUBTOTAL(109,Others[Column8])</f>
        <v>0</v>
      </c>
      <c r="K13" s="289">
        <f>SUBTOTAL(109,Others[Column9])</f>
        <v>2</v>
      </c>
      <c r="L13" s="391">
        <f>IFERROR(Others[[#Totals],[Column8]]/Others[[#Totals],[Column7]],0)</f>
        <v>0</v>
      </c>
      <c r="M13" s="288">
        <f>SUBTOTAL(109,Others[Column10])</f>
        <v>0</v>
      </c>
      <c r="N13" s="289">
        <f>SUBTOTAL(109,Others[Column11])</f>
        <v>0</v>
      </c>
      <c r="O13" s="289">
        <f>SUBTOTAL(109,Others[Column12])</f>
        <v>0</v>
      </c>
      <c r="P13" s="391">
        <f>IFERROR(Others[[#Totals],[Column11]]/Others[[#Totals],[Column10]],0)</f>
        <v>0</v>
      </c>
      <c r="Q13" s="539">
        <f>IFERROR(Others[[#Totals],[Column10]]/Others[[#Totals],[Column7]],0)</f>
        <v>0</v>
      </c>
      <c r="R13" s="288">
        <f>SUBTOTAL(109,Others[Column23])</f>
        <v>0</v>
      </c>
      <c r="S13" s="281">
        <f>SUBTOTAL(109,Others[Column27])</f>
        <v>0</v>
      </c>
      <c r="T13" s="281">
        <f>SUBTOTAL(109,Others[Column28])</f>
        <v>0</v>
      </c>
      <c r="U13" s="391">
        <f>IFERROR(Others[[#Totals],[Column27]]/Others[[#Totals],[Column23]],0)</f>
        <v>0</v>
      </c>
      <c r="V13" s="288">
        <f>SUBTOTAL(109,Others[Column15])</f>
        <v>0</v>
      </c>
      <c r="W13" s="281">
        <f>SUBTOTAL(109,Others[Column16])</f>
        <v>0</v>
      </c>
      <c r="X13" s="281">
        <f>SUBTOTAL(109,Others[Column17])</f>
        <v>0</v>
      </c>
      <c r="Y13" s="391">
        <f>IFERROR(Others[[#Totals],[Column16]]/Others[[#Totals],[Column15]],0)</f>
        <v>0</v>
      </c>
      <c r="Z13" s="385">
        <f>SUBTOTAL(109,Others[Column19])</f>
        <v>0</v>
      </c>
      <c r="AA13" s="292">
        <f>SUBTOTAL(109,Others[Column20])</f>
        <v>0</v>
      </c>
      <c r="AB13" s="292">
        <f>SUBTOTAL(109,Others[Column21])</f>
        <v>0</v>
      </c>
      <c r="AC13" s="407">
        <f>IFERROR(Others[[#Totals],[Column20]]/Others[[#Totals],[Column19]],0)</f>
        <v>0</v>
      </c>
      <c r="AD13" s="291">
        <f>SUBTOTAL(109,Others[Column24])</f>
        <v>0</v>
      </c>
      <c r="AE13" s="386">
        <f>SUBTOTAL(109,Others[Column30])</f>
        <v>0</v>
      </c>
      <c r="AF13" s="292">
        <f>SUBTOTAL(109,Others[Column29])</f>
        <v>0</v>
      </c>
      <c r="AG13" s="393">
        <f>IFERROR(Others[[#Totals],[Column30]]/Others[[#Totals],[Column24]],0)</f>
        <v>0</v>
      </c>
      <c r="AH13" s="340">
        <f>IFERROR(Others[[#Totals],[Column24]]/Others[[#Totals],[Column19]],0)</f>
        <v>0</v>
      </c>
      <c r="AI13" s="285"/>
    </row>
    <row r="14" spans="1:35" ht="18" thickBot="1" x14ac:dyDescent="0.25">
      <c r="A14" s="332" t="s">
        <v>122</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7"/>
    </row>
  </sheetData>
  <sheetProtection formatCells="0" formatRows="0" insertRows="0" deleteRows="0" sort="0" autoFilter="0" pivotTables="0"/>
  <mergeCells count="11">
    <mergeCell ref="AD7:AG7"/>
    <mergeCell ref="I7:L7"/>
    <mergeCell ref="R7:U7"/>
    <mergeCell ref="V7:Y7"/>
    <mergeCell ref="Z7:AC7"/>
    <mergeCell ref="H7:H8"/>
    <mergeCell ref="A7:A8"/>
    <mergeCell ref="B7:B8"/>
    <mergeCell ref="C7:C8"/>
    <mergeCell ref="D7:F7"/>
    <mergeCell ref="G7:G8"/>
  </mergeCells>
  <dataValidations count="3">
    <dataValidation allowBlank="1" showInputMessage="1" showErrorMessage="1" prompt="Please fill in the cell with text" sqref="B9:F12" xr:uid="{3AB41949-1B92-4CC6-A7DE-0349B64056E1}"/>
    <dataValidation type="decimal" allowBlank="1" showInputMessage="1" showErrorMessage="1" prompt="Input only numbers" sqref="I9:J12 M9:N12 R9:S12 V9:W12 Z9:AA12 AD9:AE12" xr:uid="{49EE0A19-6DE9-40B5-B9A8-1D2311C718FB}">
      <formula1>0</formula1>
      <formula2>100000000000</formula2>
    </dataValidation>
    <dataValidation type="custom" allowBlank="1" showInputMessage="1" showErrorMessage="1" errorTitle="NOTICE!" error="Please don't input any value in this cell, there is formula" promptTitle="NOTICE!" prompt="Please don't input any value in this cell, there is formula" sqref="K9:L12 O9:Q12 T9:U12 X9:Y12 AB9:AC12 AF9:AG12" xr:uid="{71BCFA25-B80C-4E5E-9E61-9FD180D5A117}">
      <formula1>"Please don't input any value in this cell, there is formula"</formula1>
    </dataValidation>
  </dataValidations>
  <pageMargins left="0.7" right="0.7" top="0.75" bottom="0.75" header="0.3" footer="0.3"/>
  <pageSetup paperSize="9" orientation="portrait" verticalDpi="4294967295"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FE10D-79E5-4684-BB09-E4BCCD995F76}">
  <dimension ref="A1:Z13"/>
  <sheetViews>
    <sheetView view="pageBreakPreview" zoomScale="47" zoomScaleNormal="79" zoomScaleSheetLayoutView="55" workbookViewId="0">
      <selection activeCell="C3" sqref="C3"/>
    </sheetView>
  </sheetViews>
  <sheetFormatPr baseColWidth="10" defaultColWidth="9.1640625" defaultRowHeight="17" x14ac:dyDescent="0.2"/>
  <cols>
    <col min="1" max="1" width="10.83203125" style="2" customWidth="1"/>
    <col min="2" max="2" width="40.83203125" style="2" bestFit="1" customWidth="1"/>
    <col min="3" max="3" width="49" style="2" customWidth="1"/>
    <col min="4" max="4" width="39.83203125" style="2" bestFit="1" customWidth="1"/>
    <col min="5" max="5" width="28.5" style="2" customWidth="1"/>
    <col min="6" max="6" width="20.6640625" style="2" customWidth="1"/>
    <col min="7" max="7" width="21.83203125" style="2" customWidth="1"/>
    <col min="8" max="8" width="25.83203125" style="2" customWidth="1"/>
    <col min="9" max="9" width="11.83203125" style="2" customWidth="1"/>
    <col min="10" max="10" width="28.5" style="2" customWidth="1"/>
    <col min="11" max="11" width="15.83203125" style="2" customWidth="1"/>
    <col min="12" max="12" width="8.5" style="2" customWidth="1"/>
    <col min="13" max="13" width="12" style="2" customWidth="1"/>
    <col min="14" max="14" width="11.6640625" style="2" customWidth="1"/>
    <col min="15" max="15" width="13.5" style="2" customWidth="1"/>
    <col min="16" max="16" width="11.33203125" style="2" customWidth="1"/>
    <col min="17" max="17" width="11.83203125" style="2" customWidth="1"/>
    <col min="18" max="18" width="15.1640625" style="2" customWidth="1"/>
    <col min="19" max="19" width="15.33203125" style="2" customWidth="1"/>
    <col min="20" max="20" width="10.5" style="2" customWidth="1"/>
    <col min="21" max="21" width="11.1640625" style="2" customWidth="1"/>
    <col min="22" max="22" width="13.1640625" style="2" customWidth="1"/>
    <col min="23" max="23" width="14.6640625" style="2" customWidth="1"/>
    <col min="24" max="25" width="9.1640625" style="2"/>
    <col min="26" max="26" width="13.5" style="2" customWidth="1"/>
    <col min="27" max="16384" width="9.1640625" style="2"/>
  </cols>
  <sheetData>
    <row r="1" spans="1:26" ht="18" thickBot="1" x14ac:dyDescent="0.25">
      <c r="B1" s="3" t="s">
        <v>72</v>
      </c>
      <c r="C1" s="16"/>
      <c r="D1" s="16"/>
      <c r="E1" s="16"/>
      <c r="F1" s="16"/>
    </row>
    <row r="2" spans="1:26" x14ac:dyDescent="0.2">
      <c r="B2" s="52" t="s">
        <v>40</v>
      </c>
      <c r="C2" s="38">
        <f>'Plan-NCCC'!C2</f>
        <v>0</v>
      </c>
      <c r="D2" s="37" t="s">
        <v>73</v>
      </c>
      <c r="E2" s="50">
        <f>'Plan-NCCC'!E2</f>
        <v>0</v>
      </c>
      <c r="F2" s="16"/>
    </row>
    <row r="3" spans="1:26" x14ac:dyDescent="0.2">
      <c r="B3" s="53" t="s">
        <v>42</v>
      </c>
      <c r="C3" s="41">
        <f>'Plan-NCCC'!C3</f>
        <v>0</v>
      </c>
      <c r="D3" s="40" t="s">
        <v>74</v>
      </c>
      <c r="E3" s="51">
        <f>'Plan-NCCC'!E3</f>
        <v>0</v>
      </c>
      <c r="F3" s="16"/>
    </row>
    <row r="4" spans="1:26" ht="18" thickBot="1" x14ac:dyDescent="0.25">
      <c r="B4" s="54" t="s">
        <v>44</v>
      </c>
      <c r="C4" s="55">
        <f>'Plan-NCCC'!C4</f>
        <v>0</v>
      </c>
      <c r="D4" s="40" t="s">
        <v>45</v>
      </c>
      <c r="E4" s="45">
        <f>'Plan-NCCC'!E4</f>
        <v>0</v>
      </c>
      <c r="F4" s="16"/>
      <c r="G4" s="11" t="s">
        <v>75</v>
      </c>
    </row>
    <row r="5" spans="1:26" x14ac:dyDescent="0.2">
      <c r="B5" s="15"/>
      <c r="C5" s="19"/>
      <c r="D5" s="40" t="s">
        <v>76</v>
      </c>
      <c r="E5" s="45">
        <f>'Plan-NCCC'!E5</f>
        <v>0</v>
      </c>
      <c r="F5" s="16"/>
    </row>
    <row r="6" spans="1:26" ht="18" thickBot="1" x14ac:dyDescent="0.25">
      <c r="B6" s="15"/>
      <c r="C6" s="14"/>
      <c r="D6" s="43" t="s">
        <v>47</v>
      </c>
      <c r="E6" s="49">
        <f>'Plan-NCCC'!E6</f>
        <v>0</v>
      </c>
      <c r="F6" s="3"/>
    </row>
    <row r="7" spans="1:26" ht="34" customHeight="1" thickBot="1" x14ac:dyDescent="0.25">
      <c r="A7" s="1"/>
      <c r="B7" s="192" t="s">
        <v>77</v>
      </c>
      <c r="C7" s="193"/>
      <c r="D7" s="194"/>
      <c r="E7" s="195"/>
      <c r="F7" s="196"/>
      <c r="G7" s="1"/>
      <c r="H7" s="1"/>
      <c r="I7" s="1"/>
      <c r="J7" s="1"/>
      <c r="K7" s="1"/>
      <c r="L7" s="1"/>
      <c r="M7" s="1"/>
      <c r="N7" s="1"/>
      <c r="O7" s="1"/>
      <c r="P7" s="1"/>
      <c r="Q7" s="1"/>
      <c r="R7" s="1"/>
      <c r="S7" s="1"/>
      <c r="T7" s="1"/>
      <c r="U7" s="1"/>
      <c r="V7" s="1"/>
      <c r="W7" s="1"/>
      <c r="X7" s="1"/>
      <c r="Y7" s="1"/>
      <c r="Z7" s="1"/>
    </row>
    <row r="8" spans="1:26" ht="384" customHeight="1" thickBot="1" x14ac:dyDescent="0.25">
      <c r="A8" s="620" t="s">
        <v>78</v>
      </c>
      <c r="B8" s="621"/>
      <c r="C8" s="621"/>
      <c r="D8" s="621"/>
      <c r="E8" s="621"/>
      <c r="F8" s="621"/>
      <c r="G8" s="621"/>
      <c r="H8" s="621"/>
      <c r="I8" s="621"/>
      <c r="J8" s="621"/>
      <c r="K8" s="621"/>
      <c r="L8" s="621"/>
      <c r="M8" s="621"/>
      <c r="N8" s="621"/>
      <c r="O8" s="621"/>
      <c r="P8" s="621"/>
      <c r="Q8" s="621"/>
      <c r="R8" s="621"/>
      <c r="S8" s="621"/>
      <c r="T8" s="622"/>
      <c r="U8" s="197"/>
      <c r="V8" s="197"/>
      <c r="W8" s="197"/>
      <c r="X8" s="197"/>
      <c r="Y8" s="197"/>
      <c r="Z8" s="198"/>
    </row>
    <row r="9" spans="1:26" ht="98.5" customHeight="1" x14ac:dyDescent="0.2">
      <c r="A9" s="623" t="s">
        <v>50</v>
      </c>
      <c r="B9" s="625" t="s">
        <v>79</v>
      </c>
      <c r="C9" s="627" t="s">
        <v>52</v>
      </c>
      <c r="D9" s="629" t="s">
        <v>53</v>
      </c>
      <c r="E9" s="630"/>
      <c r="F9" s="631"/>
      <c r="G9" s="632" t="s">
        <v>80</v>
      </c>
      <c r="H9" s="634" t="s">
        <v>81</v>
      </c>
      <c r="I9" s="629" t="s">
        <v>82</v>
      </c>
      <c r="J9" s="630"/>
      <c r="K9" s="630"/>
      <c r="L9" s="631"/>
      <c r="M9" s="629" t="s">
        <v>83</v>
      </c>
      <c r="N9" s="630"/>
      <c r="O9" s="630"/>
      <c r="P9" s="631"/>
      <c r="Q9" s="636" t="s">
        <v>84</v>
      </c>
      <c r="R9" s="637"/>
      <c r="S9" s="637"/>
      <c r="T9" s="638"/>
      <c r="U9" s="617" t="s">
        <v>85</v>
      </c>
      <c r="V9" s="618"/>
      <c r="W9" s="618"/>
      <c r="X9" s="618"/>
      <c r="Y9" s="618"/>
      <c r="Z9" s="619"/>
    </row>
    <row r="10" spans="1:26" ht="61" thickBot="1" x14ac:dyDescent="0.25">
      <c r="A10" s="624"/>
      <c r="B10" s="626"/>
      <c r="C10" s="628"/>
      <c r="D10" s="201" t="s">
        <v>59</v>
      </c>
      <c r="E10" s="202" t="s">
        <v>86</v>
      </c>
      <c r="F10" s="203" t="s">
        <v>87</v>
      </c>
      <c r="G10" s="633"/>
      <c r="H10" s="635"/>
      <c r="I10" s="199" t="s">
        <v>64</v>
      </c>
      <c r="J10" s="204" t="s">
        <v>88</v>
      </c>
      <c r="K10" s="204" t="s">
        <v>89</v>
      </c>
      <c r="L10" s="200" t="s">
        <v>47</v>
      </c>
      <c r="M10" s="199" t="s">
        <v>64</v>
      </c>
      <c r="N10" s="204" t="s">
        <v>88</v>
      </c>
      <c r="O10" s="204" t="s">
        <v>89</v>
      </c>
      <c r="P10" s="200" t="s">
        <v>47</v>
      </c>
      <c r="Q10" s="199" t="s">
        <v>90</v>
      </c>
      <c r="R10" s="204" t="s">
        <v>91</v>
      </c>
      <c r="S10" s="204" t="s">
        <v>92</v>
      </c>
      <c r="T10" s="200" t="s">
        <v>47</v>
      </c>
      <c r="U10" s="199" t="s">
        <v>90</v>
      </c>
      <c r="V10" s="205" t="s">
        <v>93</v>
      </c>
      <c r="W10" s="202" t="s">
        <v>94</v>
      </c>
      <c r="X10" s="204" t="s">
        <v>95</v>
      </c>
      <c r="Y10" s="204" t="s">
        <v>96</v>
      </c>
      <c r="Z10" s="200" t="s">
        <v>97</v>
      </c>
    </row>
    <row r="11" spans="1:26" ht="219" customHeight="1" x14ac:dyDescent="0.2">
      <c r="A11" s="206">
        <v>1</v>
      </c>
      <c r="B11" s="207" t="s">
        <v>98</v>
      </c>
      <c r="C11" s="207" t="s">
        <v>99</v>
      </c>
      <c r="D11" s="207" t="s">
        <v>100</v>
      </c>
      <c r="E11" s="207" t="s">
        <v>101</v>
      </c>
      <c r="F11" s="207" t="s">
        <v>102</v>
      </c>
      <c r="G11" s="207" t="s">
        <v>103</v>
      </c>
      <c r="H11" s="207" t="s">
        <v>104</v>
      </c>
      <c r="I11" s="208">
        <f>Eng_21[[#This Row],[Column11]]+Eng_21[[#This Row],[Column12]]</f>
        <v>0</v>
      </c>
      <c r="J11" s="150">
        <v>0</v>
      </c>
      <c r="K11" s="150">
        <v>0</v>
      </c>
      <c r="L11" s="209">
        <f>IFERROR(J11/I11,0)</f>
        <v>0</v>
      </c>
      <c r="M11" s="208">
        <f>Eng_21[[#This Row],[Column16]]+Eng_21[[#This Row],[Column17]]</f>
        <v>0</v>
      </c>
      <c r="N11" s="150">
        <v>0</v>
      </c>
      <c r="O11" s="150">
        <v>0</v>
      </c>
      <c r="P11" s="209">
        <f>IFERROR(N11/M11,0)</f>
        <v>0</v>
      </c>
      <c r="Q11" s="210">
        <f>Eng_21[[#This Row],[Column20]]+Eng_21[[#This Row],[Column21]]</f>
        <v>0</v>
      </c>
      <c r="R11" s="211">
        <v>0</v>
      </c>
      <c r="S11" s="211">
        <v>0</v>
      </c>
      <c r="T11" s="151">
        <f>IFERROR(R11/Q11,0)</f>
        <v>0</v>
      </c>
      <c r="U11" s="212">
        <f>Eng_21[[#This Row],[Column30]]+Eng_21[[#This Row],[Column29]]</f>
        <v>0</v>
      </c>
      <c r="V11" s="211">
        <v>0</v>
      </c>
      <c r="W11" s="211">
        <v>0</v>
      </c>
      <c r="X11" s="151">
        <f>IFERROR(Eng_21[[#This Row],[Column30]]/Eng_21[[#This Row],[Column24]],0)</f>
        <v>0</v>
      </c>
      <c r="Y11" s="213">
        <f>IFERROR(Eng_21[[#This Row],[Column24]]/Eng_21[[#This Row],[Column19]],0)</f>
        <v>0</v>
      </c>
      <c r="Z11" s="214"/>
    </row>
    <row r="12" spans="1:26" ht="146.5" customHeight="1" thickBot="1" x14ac:dyDescent="0.25">
      <c r="A12" s="206">
        <v>2</v>
      </c>
      <c r="B12" s="215" t="s">
        <v>98</v>
      </c>
      <c r="C12" s="215" t="s">
        <v>99</v>
      </c>
      <c r="D12" s="215" t="s">
        <v>100</v>
      </c>
      <c r="E12" s="215" t="s">
        <v>101</v>
      </c>
      <c r="F12" s="215" t="s">
        <v>102</v>
      </c>
      <c r="G12" s="215" t="s">
        <v>103</v>
      </c>
      <c r="H12" s="215" t="s">
        <v>104</v>
      </c>
      <c r="I12" s="76">
        <f>Eng_21[[#This Row],[Column11]]+Eng_21[[#This Row],[Column12]]</f>
        <v>0</v>
      </c>
      <c r="J12" s="150">
        <v>0</v>
      </c>
      <c r="K12" s="150">
        <v>0</v>
      </c>
      <c r="L12" s="216">
        <f t="shared" ref="L12" si="0">IFERROR(J12/I12,0)</f>
        <v>0</v>
      </c>
      <c r="M12" s="76">
        <f>Eng_21[[#This Row],[Column16]]+Eng_21[[#This Row],[Column17]]</f>
        <v>0</v>
      </c>
      <c r="N12" s="150">
        <v>0</v>
      </c>
      <c r="O12" s="150">
        <v>0</v>
      </c>
      <c r="P12" s="216">
        <f>IFERROR(#REF!/#REF!,0)</f>
        <v>0</v>
      </c>
      <c r="Q12" s="78">
        <f>Eng_21[[#This Row],[Column20]]+Eng_21[[#This Row],[Column21]]</f>
        <v>0</v>
      </c>
      <c r="R12" s="211">
        <v>0</v>
      </c>
      <c r="S12" s="211">
        <v>0</v>
      </c>
      <c r="T12" s="168">
        <f t="shared" ref="T12" si="1">IFERROR(R12/Q12,0)</f>
        <v>0</v>
      </c>
      <c r="U12" s="79">
        <f>Eng_21[[#This Row],[Column30]]+Eng_21[[#This Row],[Column29]]</f>
        <v>0</v>
      </c>
      <c r="V12" s="211">
        <v>0</v>
      </c>
      <c r="W12" s="211">
        <v>0</v>
      </c>
      <c r="X12" s="168">
        <f>IFERROR(Eng_21[[#This Row],[Column30]]/Eng_21[[#This Row],[Column24]],0)</f>
        <v>0</v>
      </c>
      <c r="Y12" s="217">
        <f t="shared" ref="Y12" si="2">IFERROR(W12/V12,0)</f>
        <v>0</v>
      </c>
      <c r="Z12" s="80"/>
    </row>
    <row r="13" spans="1:26" ht="32" thickBot="1" x14ac:dyDescent="0.25">
      <c r="A13" s="218"/>
      <c r="B13" s="219"/>
      <c r="C13" s="220"/>
      <c r="D13" s="221" t="s">
        <v>70</v>
      </c>
      <c r="E13" s="222"/>
      <c r="F13" s="223"/>
      <c r="G13" s="224"/>
      <c r="H13" s="225"/>
      <c r="I13" s="226">
        <f>SUBTOTAL(109,Eng_21[Column10])</f>
        <v>0</v>
      </c>
      <c r="J13" s="227">
        <f>SUBTOTAL(109,Eng_21[Column11])</f>
        <v>0</v>
      </c>
      <c r="K13" s="227">
        <f>SUBTOTAL(109,Eng_21[Column12])</f>
        <v>0</v>
      </c>
      <c r="L13" s="228">
        <f>IFERROR(Eng_21[[#Totals],[Column11]]/Eng_21[[#Totals],[Column10]],0)</f>
        <v>0</v>
      </c>
      <c r="M13" s="226">
        <f>SUBTOTAL(109,Eng_21[Column15])</f>
        <v>0</v>
      </c>
      <c r="N13" s="229">
        <f>SUBTOTAL(109,Eng_21[Column16])</f>
        <v>0</v>
      </c>
      <c r="O13" s="229">
        <f>SUBTOTAL(109,Eng_21[Column17])</f>
        <v>0</v>
      </c>
      <c r="P13" s="228">
        <f>IFERROR(Eng_21[[#Totals],[Column16]]/Eng_21[[#Totals],[Column15]],0)</f>
        <v>0</v>
      </c>
      <c r="Q13" s="230">
        <f>SUBTOTAL(109,Eng_21[Column19])</f>
        <v>0</v>
      </c>
      <c r="R13" s="231">
        <f>SUBTOTAL(109,Eng_21[Column20])</f>
        <v>0</v>
      </c>
      <c r="S13" s="231">
        <f>SUBTOTAL(109,Eng_21[Column21])</f>
        <v>0</v>
      </c>
      <c r="T13" s="232">
        <f>IFERROR(Eng_21[[#Totals],[Column20]]/Eng_21[[#Totals],[Column19]],0)</f>
        <v>0</v>
      </c>
      <c r="U13" s="233">
        <f>SUBTOTAL(109,Eng_21[Column24])</f>
        <v>0</v>
      </c>
      <c r="V13" s="234">
        <f>SUBTOTAL(109,Eng_21[Column30])</f>
        <v>0</v>
      </c>
      <c r="W13" s="231">
        <f>SUBTOTAL(109,Eng_21[Column29])</f>
        <v>0</v>
      </c>
      <c r="X13" s="235">
        <f>IFERROR(Eng_21[[#Totals],[Column30]]/Eng_21[[#Totals],[Column24]],0)</f>
        <v>0</v>
      </c>
      <c r="Y13" s="236">
        <f>IFERROR(Eng_21[[#Totals],[Column24]]/Eng_21[[#Totals],[Column19]],0)</f>
        <v>0</v>
      </c>
      <c r="Z13" s="237"/>
    </row>
  </sheetData>
  <sheetProtection selectLockedCells="1"/>
  <mergeCells count="11">
    <mergeCell ref="U9:Z9"/>
    <mergeCell ref="A8:T8"/>
    <mergeCell ref="A9:A10"/>
    <mergeCell ref="B9:B10"/>
    <mergeCell ref="C9:C10"/>
    <mergeCell ref="D9:F9"/>
    <mergeCell ref="G9:G10"/>
    <mergeCell ref="H9:H10"/>
    <mergeCell ref="I9:L9"/>
    <mergeCell ref="M9:P9"/>
    <mergeCell ref="Q9:T9"/>
  </mergeCells>
  <pageMargins left="0.7" right="0.7" top="0.75" bottom="0.75" header="0.3" footer="0.3"/>
  <pageSetup scale="93" orientation="portrait" horizontalDpi="4294967295" verticalDpi="4294967295" r:id="rId1"/>
  <colBreaks count="3" manualBreakCount="3">
    <brk id="6" max="12" man="1"/>
    <brk id="10" max="12" man="1"/>
    <brk id="18" max="12" man="1"/>
  </colBreak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52D5C-1D80-4078-9978-0FD4B2A3E691}">
  <dimension ref="A1:AB47"/>
  <sheetViews>
    <sheetView zoomScale="55" zoomScaleNormal="55" workbookViewId="0">
      <selection activeCell="N5" sqref="N5"/>
    </sheetView>
  </sheetViews>
  <sheetFormatPr baseColWidth="10" defaultColWidth="9.1640625" defaultRowHeight="17" x14ac:dyDescent="0.2"/>
  <cols>
    <col min="1" max="1" width="6.5" style="2" customWidth="1"/>
    <col min="2" max="2" width="41.1640625" style="2" customWidth="1"/>
    <col min="3" max="3" width="12.6640625" style="2" customWidth="1"/>
    <col min="4" max="6" width="17.5" style="2" customWidth="1"/>
    <col min="7" max="7" width="13.5" style="2" customWidth="1"/>
    <col min="8" max="8" width="20.83203125" style="2" bestFit="1" customWidth="1"/>
    <col min="9" max="9" width="14.1640625" style="2" customWidth="1"/>
    <col min="10" max="15" width="14.5" style="2" customWidth="1"/>
    <col min="16" max="16" width="10.5" style="2" customWidth="1"/>
    <col min="17" max="18" width="6.5" style="2" customWidth="1"/>
    <col min="19" max="19" width="7.5" style="2" customWidth="1"/>
    <col min="20" max="20" width="21.5" style="2" customWidth="1"/>
    <col min="21" max="21" width="20.1640625" style="2" customWidth="1"/>
    <col min="22" max="22" width="16.6640625" style="2" customWidth="1"/>
    <col min="23" max="23" width="7.5" style="2" customWidth="1"/>
    <col min="24" max="24" width="21.5" style="2" customWidth="1"/>
    <col min="25" max="25" width="20.1640625" style="2" customWidth="1"/>
    <col min="26" max="26" width="16.6640625" style="2" customWidth="1"/>
    <col min="27" max="27" width="14.33203125" style="2" customWidth="1"/>
    <col min="28" max="28" width="13" style="2" customWidth="1"/>
    <col min="29" max="16384" width="9.1640625" style="2"/>
  </cols>
  <sheetData>
    <row r="1" spans="1:28" ht="18" thickBot="1" x14ac:dyDescent="0.25">
      <c r="B1" s="3" t="s">
        <v>72</v>
      </c>
      <c r="C1" s="3"/>
      <c r="D1" s="3"/>
      <c r="E1" s="3"/>
      <c r="F1" s="3"/>
      <c r="G1" s="16"/>
      <c r="H1" s="16"/>
      <c r="I1" s="16"/>
    </row>
    <row r="2" spans="1:28" ht="34" x14ac:dyDescent="0.2">
      <c r="B2" s="646" t="s">
        <v>40</v>
      </c>
      <c r="C2" s="647"/>
      <c r="D2" s="64"/>
      <c r="E2" s="64">
        <f>'Plan-NCCC'!C2</f>
        <v>0</v>
      </c>
      <c r="F2" s="64"/>
      <c r="G2" s="38"/>
      <c r="H2" s="37" t="s">
        <v>73</v>
      </c>
      <c r="I2" s="39">
        <f>'Plan-NCCC'!E2</f>
        <v>0</v>
      </c>
    </row>
    <row r="3" spans="1:28" ht="34" x14ac:dyDescent="0.2">
      <c r="B3" s="648" t="s">
        <v>42</v>
      </c>
      <c r="C3" s="649"/>
      <c r="D3" s="65"/>
      <c r="E3" s="65">
        <f>'Plan-NCCC'!C3</f>
        <v>0</v>
      </c>
      <c r="F3" s="65"/>
      <c r="G3" s="41"/>
      <c r="H3" s="40" t="s">
        <v>74</v>
      </c>
      <c r="I3" s="42">
        <f>'Plan-NCCC'!E3</f>
        <v>0</v>
      </c>
    </row>
    <row r="4" spans="1:28" ht="35" thickBot="1" x14ac:dyDescent="0.25">
      <c r="B4" s="650" t="s">
        <v>44</v>
      </c>
      <c r="C4" s="651"/>
      <c r="D4" s="66"/>
      <c r="E4" s="66">
        <f>'Plan-NCCC'!C4</f>
        <v>0</v>
      </c>
      <c r="F4" s="66"/>
      <c r="G4" s="44"/>
      <c r="H4" s="40" t="s">
        <v>45</v>
      </c>
      <c r="I4" s="45">
        <f>'Plan-NCCC'!E4</f>
        <v>0</v>
      </c>
    </row>
    <row r="5" spans="1:28" ht="34" x14ac:dyDescent="0.2">
      <c r="B5" s="46"/>
      <c r="C5" s="46"/>
      <c r="D5" s="46"/>
      <c r="E5" s="46"/>
      <c r="F5" s="46"/>
      <c r="G5" s="47"/>
      <c r="H5" s="40" t="s">
        <v>76</v>
      </c>
      <c r="I5" s="45">
        <f>'Plan-NCCC'!E5</f>
        <v>0</v>
      </c>
    </row>
    <row r="6" spans="1:28" ht="18" thickBot="1" x14ac:dyDescent="0.25">
      <c r="B6" s="46"/>
      <c r="C6" s="46"/>
      <c r="D6" s="46"/>
      <c r="E6" s="46"/>
      <c r="F6" s="46"/>
      <c r="G6" s="48"/>
      <c r="H6" s="43" t="s">
        <v>47</v>
      </c>
      <c r="I6" s="49">
        <f>'Plan-NCCC'!E6</f>
        <v>0</v>
      </c>
    </row>
    <row r="7" spans="1:28" ht="33" customHeight="1" x14ac:dyDescent="0.2">
      <c r="A7" s="3" t="s">
        <v>105</v>
      </c>
    </row>
    <row r="8" spans="1:28" ht="56.5" customHeight="1" thickBot="1" x14ac:dyDescent="0.25">
      <c r="A8" s="652" t="s">
        <v>106</v>
      </c>
      <c r="B8" s="652"/>
      <c r="C8" s="652"/>
      <c r="D8" s="652"/>
      <c r="E8" s="652"/>
      <c r="F8" s="652"/>
      <c r="G8" s="652"/>
      <c r="H8" s="652"/>
      <c r="I8" s="652"/>
      <c r="J8" s="652"/>
      <c r="K8" s="652"/>
      <c r="L8" s="652"/>
      <c r="M8" s="652"/>
      <c r="N8" s="652"/>
      <c r="O8" s="652"/>
      <c r="P8" s="652"/>
      <c r="Q8" s="652"/>
      <c r="R8" s="652"/>
      <c r="S8" s="652"/>
      <c r="T8" s="652"/>
      <c r="U8" s="652"/>
      <c r="V8" s="652"/>
      <c r="W8" s="653"/>
      <c r="X8" s="653"/>
      <c r="Y8" s="654"/>
      <c r="Z8" s="654"/>
      <c r="AA8" s="654"/>
      <c r="AB8" s="655"/>
    </row>
    <row r="9" spans="1:28" ht="83.5" customHeight="1" thickBot="1" x14ac:dyDescent="0.25">
      <c r="A9" s="629" t="s">
        <v>50</v>
      </c>
      <c r="B9" s="657" t="s">
        <v>51</v>
      </c>
      <c r="C9" s="639" t="s">
        <v>107</v>
      </c>
      <c r="D9" s="640"/>
      <c r="E9" s="640"/>
      <c r="F9" s="641"/>
      <c r="G9" s="639" t="s">
        <v>108</v>
      </c>
      <c r="H9" s="640"/>
      <c r="I9" s="640"/>
      <c r="J9" s="641"/>
      <c r="K9" s="345" t="s">
        <v>150</v>
      </c>
      <c r="L9" s="639" t="s">
        <v>109</v>
      </c>
      <c r="M9" s="640"/>
      <c r="N9" s="640"/>
      <c r="O9" s="641"/>
      <c r="P9" s="639" t="s">
        <v>110</v>
      </c>
      <c r="Q9" s="640"/>
      <c r="R9" s="640"/>
      <c r="S9" s="641"/>
      <c r="T9" s="642" t="s">
        <v>111</v>
      </c>
      <c r="U9" s="637"/>
      <c r="V9" s="637"/>
      <c r="W9" s="643"/>
      <c r="X9" s="642" t="s">
        <v>112</v>
      </c>
      <c r="Y9" s="637"/>
      <c r="Z9" s="637"/>
      <c r="AA9" s="643"/>
      <c r="AB9" s="345" t="s">
        <v>151</v>
      </c>
    </row>
    <row r="10" spans="1:28" ht="83.5" customHeight="1" thickBot="1" x14ac:dyDescent="0.25">
      <c r="A10" s="656"/>
      <c r="B10" s="658"/>
      <c r="C10" s="342" t="s">
        <v>64</v>
      </c>
      <c r="D10" s="343" t="s">
        <v>62</v>
      </c>
      <c r="E10" s="343" t="s">
        <v>63</v>
      </c>
      <c r="F10" s="344" t="s">
        <v>47</v>
      </c>
      <c r="G10" s="342" t="s">
        <v>64</v>
      </c>
      <c r="H10" s="343" t="s">
        <v>62</v>
      </c>
      <c r="I10" s="343" t="s">
        <v>63</v>
      </c>
      <c r="J10" s="344" t="s">
        <v>47</v>
      </c>
      <c r="K10" s="348" t="s">
        <v>96</v>
      </c>
      <c r="L10" s="342" t="s">
        <v>64</v>
      </c>
      <c r="M10" s="343" t="s">
        <v>62</v>
      </c>
      <c r="N10" s="343" t="s">
        <v>63</v>
      </c>
      <c r="O10" s="344" t="s">
        <v>47</v>
      </c>
      <c r="P10" s="342" t="s">
        <v>64</v>
      </c>
      <c r="Q10" s="343" t="s">
        <v>62</v>
      </c>
      <c r="R10" s="343" t="s">
        <v>63</v>
      </c>
      <c r="S10" s="344" t="s">
        <v>47</v>
      </c>
      <c r="T10" s="342" t="s">
        <v>90</v>
      </c>
      <c r="U10" s="343" t="s">
        <v>65</v>
      </c>
      <c r="V10" s="343" t="s">
        <v>113</v>
      </c>
      <c r="W10" s="344" t="s">
        <v>47</v>
      </c>
      <c r="X10" s="346" t="s">
        <v>90</v>
      </c>
      <c r="Y10" s="347" t="s">
        <v>65</v>
      </c>
      <c r="Z10" s="202" t="s">
        <v>114</v>
      </c>
      <c r="AA10" s="202" t="s">
        <v>95</v>
      </c>
      <c r="AB10" s="348" t="s">
        <v>96</v>
      </c>
    </row>
    <row r="11" spans="1:28" ht="36" collapsed="1" x14ac:dyDescent="0.2">
      <c r="A11" s="5">
        <v>1</v>
      </c>
      <c r="B11" s="146" t="s">
        <v>4</v>
      </c>
      <c r="C11" s="71">
        <f>Eng[[#Totals],[Column7]]</f>
        <v>0</v>
      </c>
      <c r="D11" s="69">
        <f>Eng[[#Totals],[Column8]]</f>
        <v>0</v>
      </c>
      <c r="E11" s="69">
        <f>Eng[[#Totals],[Column9]]</f>
        <v>0</v>
      </c>
      <c r="F11" s="73">
        <f>IFERROR(D11/C11,0)</f>
        <v>0</v>
      </c>
      <c r="G11" s="149">
        <f>Eng[[#Totals],[Column10]]</f>
        <v>0</v>
      </c>
      <c r="H11" s="150">
        <f>Eng[[#Totals],[Column11]]</f>
        <v>0</v>
      </c>
      <c r="I11" s="150">
        <f>Eng[[#Totals],[Column12]]</f>
        <v>0</v>
      </c>
      <c r="J11" s="151">
        <f>IFERROR(H11/G11,0)</f>
        <v>0</v>
      </c>
      <c r="K11" s="151">
        <f>IFERROR(G11/C11,0)</f>
        <v>0</v>
      </c>
      <c r="L11" s="152">
        <f>Eng[[#Totals],[Column23]]</f>
        <v>0</v>
      </c>
      <c r="M11" s="153">
        <f>Eng[[#Totals],[Column27]]</f>
        <v>0</v>
      </c>
      <c r="N11" s="153">
        <f>Eng[[#Totals],[Column28]]</f>
        <v>0</v>
      </c>
      <c r="O11" s="73">
        <f>IFERROR(M11/L11,0)</f>
        <v>0</v>
      </c>
      <c r="P11" s="149">
        <f>Eng[[#Totals],[Column15]]</f>
        <v>0</v>
      </c>
      <c r="Q11" s="150">
        <f>Eng[[#Totals],[Column16]]</f>
        <v>0</v>
      </c>
      <c r="R11" s="150">
        <f>Eng[[#Totals],[Column17]]</f>
        <v>0</v>
      </c>
      <c r="S11" s="151">
        <f>IFERROR(Q11/P11,0)</f>
        <v>0</v>
      </c>
      <c r="T11" s="154">
        <f>Eng[[#Totals],[Column19]]</f>
        <v>0</v>
      </c>
      <c r="U11" s="155">
        <f>Eng[[#Totals],[Column20]]</f>
        <v>0</v>
      </c>
      <c r="V11" s="155">
        <f>Eng[[#Totals],[Column21]]</f>
        <v>0</v>
      </c>
      <c r="W11" s="156">
        <f>IFERROR(U11/T11,0)</f>
        <v>0</v>
      </c>
      <c r="X11" s="157">
        <f>Eng[[#Totals],[Column24]]</f>
        <v>0</v>
      </c>
      <c r="Y11" s="155">
        <f>Eng[[#Totals],[Column30]]</f>
        <v>0</v>
      </c>
      <c r="Z11" s="155">
        <f>Eng[[#Totals],[Column29]]</f>
        <v>0</v>
      </c>
      <c r="AA11" s="151">
        <f>IFERROR(Y11/X11,0)</f>
        <v>0</v>
      </c>
      <c r="AB11" s="158">
        <f>Eng[[#Totals],[Column26]]</f>
        <v>0</v>
      </c>
    </row>
    <row r="12" spans="1:28" x14ac:dyDescent="0.2">
      <c r="A12" s="147"/>
      <c r="C12" s="159"/>
      <c r="D12" s="160"/>
      <c r="E12" s="160"/>
      <c r="F12" s="159"/>
      <c r="G12" s="161"/>
      <c r="H12" s="1"/>
      <c r="I12" s="1"/>
      <c r="J12" s="162"/>
      <c r="K12" s="162"/>
      <c r="L12" s="159"/>
      <c r="M12" s="163"/>
      <c r="N12" s="163"/>
      <c r="O12" s="159"/>
      <c r="P12" s="164"/>
      <c r="Q12" s="1"/>
      <c r="R12" s="1"/>
      <c r="S12" s="162"/>
      <c r="T12" s="165"/>
      <c r="U12" s="165"/>
      <c r="V12" s="165"/>
      <c r="W12" s="159"/>
      <c r="X12" s="161"/>
      <c r="Y12" s="165"/>
      <c r="Z12" s="165"/>
      <c r="AA12" s="162"/>
      <c r="AB12" s="166"/>
    </row>
    <row r="13" spans="1:28" ht="19" customHeight="1" collapsed="1" x14ac:dyDescent="0.2">
      <c r="A13" s="8">
        <v>2</v>
      </c>
      <c r="B13" s="148" t="s">
        <v>6</v>
      </c>
      <c r="C13" s="72">
        <f>Fab[[#Totals],[Column7]]</f>
        <v>0</v>
      </c>
      <c r="D13" s="70">
        <f>Fab[[#Totals],[Column8]]</f>
        <v>0</v>
      </c>
      <c r="E13" s="70">
        <f>Fab[[#Totals],[Column9]]</f>
        <v>0</v>
      </c>
      <c r="F13" s="74">
        <f>IFERROR(D13/C13,0)</f>
        <v>0</v>
      </c>
      <c r="G13" s="167">
        <f>Fab[[#Totals],[Column10]]</f>
        <v>0</v>
      </c>
      <c r="H13" s="77">
        <f>Fab[[#Totals],[Column11]]</f>
        <v>0</v>
      </c>
      <c r="I13" s="77">
        <f>Fab[[#Totals],[Column12]]</f>
        <v>0</v>
      </c>
      <c r="J13" s="168">
        <f>IFERROR(H13/G13,0)</f>
        <v>0</v>
      </c>
      <c r="K13" s="168">
        <f>IFERROR(G13/C13,0)</f>
        <v>0</v>
      </c>
      <c r="L13" s="169">
        <f>Fab[[#Totals],[Column23]]</f>
        <v>0</v>
      </c>
      <c r="M13" s="170">
        <f>Fab[[#Totals],[Column27]]</f>
        <v>0</v>
      </c>
      <c r="N13" s="170">
        <f>Fab[[#Totals],[Column28]]</f>
        <v>0</v>
      </c>
      <c r="O13" s="74">
        <f>IFERROR(M13/L13,0)</f>
        <v>0</v>
      </c>
      <c r="P13" s="171">
        <f>Fab[[#Totals],[Column15]]</f>
        <v>0</v>
      </c>
      <c r="Q13" s="77">
        <f>Fab[[#Totals],[Column16]]</f>
        <v>0</v>
      </c>
      <c r="R13" s="77">
        <f>Fab[[#Totals],[Column17]]</f>
        <v>0</v>
      </c>
      <c r="S13" s="168">
        <f>IFERROR(Q13/P13,0)</f>
        <v>0</v>
      </c>
      <c r="T13" s="172">
        <f>Fab[[#Totals],[Column19]]</f>
        <v>0</v>
      </c>
      <c r="U13" s="173">
        <f>Fab[[#Totals],[Column20]]</f>
        <v>0</v>
      </c>
      <c r="V13" s="173">
        <f>Fab[[#Totals],[Column21]]</f>
        <v>0</v>
      </c>
      <c r="W13" s="174">
        <f>IFERROR(U13/T13,0)</f>
        <v>0</v>
      </c>
      <c r="X13" s="157">
        <f>Fab[[#Totals],[Column24]]</f>
        <v>0</v>
      </c>
      <c r="Y13" s="173">
        <f>Fab[[#Totals],[Column30]]</f>
        <v>0</v>
      </c>
      <c r="Z13" s="173">
        <f>Fab[[#Totals],[Column29]]</f>
        <v>0</v>
      </c>
      <c r="AA13" s="168">
        <f>IFERROR(Y13/X13,0)</f>
        <v>0</v>
      </c>
      <c r="AB13" s="175">
        <f>Fab[[#Totals],[Column26]]</f>
        <v>0</v>
      </c>
    </row>
    <row r="14" spans="1:28" x14ac:dyDescent="0.2">
      <c r="A14" s="147"/>
      <c r="C14" s="159"/>
      <c r="D14" s="160"/>
      <c r="E14" s="160"/>
      <c r="F14" s="159"/>
      <c r="G14" s="161"/>
      <c r="H14" s="1"/>
      <c r="I14" s="1"/>
      <c r="J14" s="162"/>
      <c r="K14" s="162"/>
      <c r="L14" s="159"/>
      <c r="M14" s="163"/>
      <c r="N14" s="163"/>
      <c r="O14" s="159"/>
      <c r="P14" s="164"/>
      <c r="Q14" s="1"/>
      <c r="R14" s="1"/>
      <c r="S14" s="162"/>
      <c r="T14" s="165"/>
      <c r="U14" s="165"/>
      <c r="V14" s="165"/>
      <c r="W14" s="159"/>
      <c r="X14" s="161"/>
      <c r="Y14" s="165"/>
      <c r="Z14" s="165"/>
      <c r="AA14" s="162"/>
      <c r="AB14" s="166"/>
    </row>
    <row r="15" spans="1:28" ht="18" collapsed="1" x14ac:dyDescent="0.2">
      <c r="A15" s="8">
        <v>3</v>
      </c>
      <c r="B15" s="148" t="s">
        <v>8</v>
      </c>
      <c r="C15" s="72">
        <f>Mat[[#Totals],[Column7]]</f>
        <v>0</v>
      </c>
      <c r="D15" s="70">
        <f>Mat[[#Totals],[Column8]]</f>
        <v>0</v>
      </c>
      <c r="E15" s="70">
        <f>Mat[[#Totals],[Column9]]</f>
        <v>0</v>
      </c>
      <c r="F15" s="74">
        <f>IFERROR(D15/C15,0)</f>
        <v>0</v>
      </c>
      <c r="G15" s="167">
        <f>Mat[[#Totals],[Column10]]</f>
        <v>0</v>
      </c>
      <c r="H15" s="77">
        <f>Mat[[#Totals],[Column11]]</f>
        <v>0</v>
      </c>
      <c r="I15" s="77">
        <f>Mat[[#Totals],[Column12]]</f>
        <v>0</v>
      </c>
      <c r="J15" s="168">
        <f>IFERROR(H15/G15,0)</f>
        <v>0</v>
      </c>
      <c r="K15" s="168">
        <f>IFERROR(G15/C15,0)</f>
        <v>0</v>
      </c>
      <c r="L15" s="169">
        <f>Mat[[#Totals],[Column23]]</f>
        <v>0</v>
      </c>
      <c r="M15" s="170">
        <f>Mat[[#Totals],[Column27]]</f>
        <v>0</v>
      </c>
      <c r="N15" s="170">
        <f>Mat[[#Totals],[Column28]]</f>
        <v>0</v>
      </c>
      <c r="O15" s="74">
        <f>IFERROR(M15/L15,0)</f>
        <v>0</v>
      </c>
      <c r="P15" s="167">
        <f>Mat[[#Totals],[Column15]]</f>
        <v>0</v>
      </c>
      <c r="Q15" s="77">
        <f>Mat[[#Totals],[Column16]]</f>
        <v>0</v>
      </c>
      <c r="R15" s="77">
        <f>Mat[[#Totals],[Column17]]</f>
        <v>0</v>
      </c>
      <c r="S15" s="168">
        <f>IFERROR(Q15/P15,0)</f>
        <v>0</v>
      </c>
      <c r="T15" s="172">
        <f>Mat[[#Totals],[Column19]]</f>
        <v>0</v>
      </c>
      <c r="U15" s="173">
        <f>Mat[[#Totals],[Column20]]</f>
        <v>0</v>
      </c>
      <c r="V15" s="173">
        <f>Mat[[#Totals],[Column21]]</f>
        <v>0</v>
      </c>
      <c r="W15" s="174">
        <f>IFERROR(U15/T15,0)</f>
        <v>0</v>
      </c>
      <c r="X15" s="176">
        <f>Mat[[#Totals],[Column24]]</f>
        <v>0</v>
      </c>
      <c r="Y15" s="173">
        <f>Mat[[#Totals],[Column30]]</f>
        <v>0</v>
      </c>
      <c r="Z15" s="173">
        <f>Mat[[#Totals],[Column29]]</f>
        <v>0</v>
      </c>
      <c r="AA15" s="168">
        <f>IFERROR(Y15/X15,0)</f>
        <v>0</v>
      </c>
      <c r="AB15" s="175">
        <f>Mat[[#Totals],[Column26]]</f>
        <v>0</v>
      </c>
    </row>
    <row r="16" spans="1:28" x14ac:dyDescent="0.2">
      <c r="A16" s="147"/>
      <c r="C16" s="159"/>
      <c r="D16" s="160"/>
      <c r="E16" s="160"/>
      <c r="F16" s="159"/>
      <c r="G16" s="161"/>
      <c r="H16" s="1"/>
      <c r="I16" s="1"/>
      <c r="J16" s="162"/>
      <c r="K16" s="162"/>
      <c r="L16" s="159"/>
      <c r="M16" s="163"/>
      <c r="N16" s="163"/>
      <c r="O16" s="159"/>
      <c r="P16" s="164"/>
      <c r="Q16" s="1"/>
      <c r="R16" s="1"/>
      <c r="S16" s="162"/>
      <c r="T16" s="165"/>
      <c r="U16" s="165"/>
      <c r="V16" s="165"/>
      <c r="W16" s="159"/>
      <c r="X16" s="161"/>
      <c r="Y16" s="165"/>
      <c r="Z16" s="165"/>
      <c r="AA16" s="162"/>
      <c r="AB16" s="166"/>
    </row>
    <row r="17" spans="1:28" ht="36" collapsed="1" x14ac:dyDescent="0.2">
      <c r="A17" s="8">
        <v>4</v>
      </c>
      <c r="B17" s="148" t="s">
        <v>10</v>
      </c>
      <c r="C17" s="72">
        <f>Well[[#Totals],[Column7]]</f>
        <v>0</v>
      </c>
      <c r="D17" s="70">
        <f>Well[[#Totals],[Column8]]</f>
        <v>0</v>
      </c>
      <c r="E17" s="70">
        <f>Well[[#Totals],[Column9]]</f>
        <v>0</v>
      </c>
      <c r="F17" s="74">
        <f>IFERROR(D17/C17,0)</f>
        <v>0</v>
      </c>
      <c r="G17" s="171">
        <f>Well[[#Totals],[Column10]]</f>
        <v>0</v>
      </c>
      <c r="H17" s="77">
        <f>Well[[#Totals],[Column11]]</f>
        <v>0</v>
      </c>
      <c r="I17" s="77">
        <f>Well[[#Totals],[Column12]]</f>
        <v>0</v>
      </c>
      <c r="J17" s="168">
        <f>IFERROR(H17/G17,0)</f>
        <v>0</v>
      </c>
      <c r="K17" s="168">
        <f>IFERROR(G17/C17,0)</f>
        <v>0</v>
      </c>
      <c r="L17" s="169">
        <f>Well[[#Totals],[Column23]]</f>
        <v>0</v>
      </c>
      <c r="M17" s="170">
        <f>Well[[#Totals],[Column27]]</f>
        <v>0</v>
      </c>
      <c r="N17" s="170">
        <f>Well[[#Totals],[Column28]]</f>
        <v>0</v>
      </c>
      <c r="O17" s="74">
        <f>IFERROR(M17/L17,0)</f>
        <v>0</v>
      </c>
      <c r="P17" s="171">
        <f>Well[[#Totals],[Column15]]</f>
        <v>0</v>
      </c>
      <c r="Q17" s="77">
        <f>Well[[#Totals],[Column16]]</f>
        <v>0</v>
      </c>
      <c r="R17" s="77">
        <f>Well[[#Totals],[Column17]]</f>
        <v>0</v>
      </c>
      <c r="S17" s="168">
        <f>IFERROR(Q17/P17,0)</f>
        <v>0</v>
      </c>
      <c r="T17" s="172">
        <f>Well[[#Totals],[Column19]]</f>
        <v>0</v>
      </c>
      <c r="U17" s="173">
        <f>Well[[#Totals],[Column20]]</f>
        <v>0</v>
      </c>
      <c r="V17" s="173">
        <f>Well[[#Totals],[Column21]]</f>
        <v>0</v>
      </c>
      <c r="W17" s="174">
        <f>IFERROR(U17/T17,0)</f>
        <v>0</v>
      </c>
      <c r="X17" s="177">
        <f>Well[[#Totals],[Column24]]</f>
        <v>0</v>
      </c>
      <c r="Y17" s="173">
        <f>Well[[#Totals],[Column30]]</f>
        <v>0</v>
      </c>
      <c r="Z17" s="173">
        <f>Well[[#Totals],[Column29]]</f>
        <v>0</v>
      </c>
      <c r="AA17" s="168">
        <f>IFERROR(Y17/X17,0)</f>
        <v>0</v>
      </c>
      <c r="AB17" s="175">
        <f>Well[[#Totals],[Column26]]</f>
        <v>0</v>
      </c>
    </row>
    <row r="18" spans="1:28" x14ac:dyDescent="0.2">
      <c r="A18" s="147"/>
      <c r="C18" s="159"/>
      <c r="D18" s="160"/>
      <c r="E18" s="160"/>
      <c r="F18" s="159"/>
      <c r="G18" s="161"/>
      <c r="H18" s="1"/>
      <c r="I18" s="1"/>
      <c r="J18" s="162"/>
      <c r="K18" s="162"/>
      <c r="L18" s="159"/>
      <c r="M18" s="163"/>
      <c r="N18" s="163"/>
      <c r="O18" s="159"/>
      <c r="P18" s="164"/>
      <c r="Q18" s="1"/>
      <c r="R18" s="1"/>
      <c r="S18" s="162"/>
      <c r="T18" s="165"/>
      <c r="U18" s="165"/>
      <c r="V18" s="165"/>
      <c r="W18" s="159"/>
      <c r="X18" s="161"/>
      <c r="Y18" s="165"/>
      <c r="Z18" s="165"/>
      <c r="AA18" s="162"/>
      <c r="AB18" s="178"/>
    </row>
    <row r="19" spans="1:28" ht="18" collapsed="1" x14ac:dyDescent="0.2">
      <c r="A19" s="8">
        <v>5</v>
      </c>
      <c r="B19" s="148" t="s">
        <v>12</v>
      </c>
      <c r="C19" s="72">
        <f>Res[[#Totals],[Column7]]</f>
        <v>0</v>
      </c>
      <c r="D19" s="70">
        <f>Res[[#Totals],[Column8]]</f>
        <v>0</v>
      </c>
      <c r="E19" s="70">
        <f>Res[[#Totals],[Column9]]</f>
        <v>0</v>
      </c>
      <c r="F19" s="74">
        <f>IFERROR(D19/C19,0)</f>
        <v>0</v>
      </c>
      <c r="G19" s="171">
        <f>Res[[#Totals],[Column10]]</f>
        <v>0</v>
      </c>
      <c r="H19" s="77">
        <f>Res[[#Totals],[Column11]]</f>
        <v>0</v>
      </c>
      <c r="I19" s="77">
        <f>Res[[#Totals],[Column12]]</f>
        <v>0</v>
      </c>
      <c r="J19" s="168">
        <f>IFERROR(H19/G19,0)</f>
        <v>0</v>
      </c>
      <c r="K19" s="168">
        <f>IFERROR(G19/C19,0)</f>
        <v>0</v>
      </c>
      <c r="L19" s="169">
        <f>Res[[#Totals],[Column23]]</f>
        <v>0</v>
      </c>
      <c r="M19" s="170">
        <f>Res[[#Totals],[Column27]]</f>
        <v>0</v>
      </c>
      <c r="N19" s="170">
        <f>Res[[#Totals],[Column28]]</f>
        <v>0</v>
      </c>
      <c r="O19" s="74">
        <f>IFERROR(M19/L19,0)</f>
        <v>0</v>
      </c>
      <c r="P19" s="171">
        <f>Res[[#Totals],[Column15]]</f>
        <v>0</v>
      </c>
      <c r="Q19" s="77">
        <f>Res[[#Totals],[Column16]]</f>
        <v>0</v>
      </c>
      <c r="R19" s="77">
        <f>Res[[#Totals],[Column17]]</f>
        <v>0</v>
      </c>
      <c r="S19" s="168">
        <f>IFERROR(Q19/P19,0)</f>
        <v>0</v>
      </c>
      <c r="T19" s="172">
        <f>Res[[#Totals],[Column19]]</f>
        <v>0</v>
      </c>
      <c r="U19" s="173">
        <f>Res[[#Totals],[Column20]]</f>
        <v>0</v>
      </c>
      <c r="V19" s="173">
        <f>Res[[#Totals],[Column21]]</f>
        <v>0</v>
      </c>
      <c r="W19" s="174">
        <f>IFERROR(U19/T19,0)</f>
        <v>0</v>
      </c>
      <c r="X19" s="177">
        <f>Res[[#Totals],[Column24]]</f>
        <v>0</v>
      </c>
      <c r="Y19" s="173">
        <f>Res[[#Totals],[Column30]]</f>
        <v>0</v>
      </c>
      <c r="Z19" s="173">
        <f>Res[[#Totals],[Column29]]</f>
        <v>0</v>
      </c>
      <c r="AA19" s="168">
        <f>Res[[#Totals],[Column25]]</f>
        <v>0</v>
      </c>
      <c r="AB19" s="175">
        <f>Res[[#Totals],[Column26]]</f>
        <v>0</v>
      </c>
    </row>
    <row r="20" spans="1:28" x14ac:dyDescent="0.2">
      <c r="A20" s="147"/>
      <c r="C20" s="159"/>
      <c r="D20" s="160"/>
      <c r="E20" s="160"/>
      <c r="F20" s="179"/>
      <c r="G20" s="161"/>
      <c r="H20" s="1"/>
      <c r="I20" s="1"/>
      <c r="J20" s="162"/>
      <c r="K20" s="162"/>
      <c r="L20" s="159"/>
      <c r="M20" s="163"/>
      <c r="N20" s="163"/>
      <c r="O20" s="159"/>
      <c r="P20" s="164"/>
      <c r="Q20" s="1"/>
      <c r="R20" s="1"/>
      <c r="S20" s="162"/>
      <c r="T20" s="165"/>
      <c r="U20" s="165"/>
      <c r="V20" s="165"/>
      <c r="W20" s="159"/>
      <c r="X20" s="161"/>
      <c r="Y20" s="165"/>
      <c r="Z20" s="165"/>
      <c r="AA20" s="162"/>
      <c r="AB20" s="166"/>
    </row>
    <row r="21" spans="1:28" ht="36" collapsed="1" x14ac:dyDescent="0.2">
      <c r="A21" s="8">
        <v>6</v>
      </c>
      <c r="B21" s="148" t="s">
        <v>14</v>
      </c>
      <c r="C21" s="72">
        <f>Exp[[#Totals],[Column7]]</f>
        <v>0</v>
      </c>
      <c r="D21" s="70">
        <f>Exp[[#Totals],[Column8]]</f>
        <v>0</v>
      </c>
      <c r="E21" s="70">
        <f>Exp[[#Totals],[Column9]]</f>
        <v>0</v>
      </c>
      <c r="F21" s="74">
        <f>IFERROR(D21/C21,0)</f>
        <v>0</v>
      </c>
      <c r="G21" s="171">
        <f>Exp[[#Totals],[Column10]]</f>
        <v>0</v>
      </c>
      <c r="H21" s="77">
        <f>Exp[[#Totals],[Column11]]</f>
        <v>0</v>
      </c>
      <c r="I21" s="77">
        <f>Exp[[#Totals],[Column12]]</f>
        <v>0</v>
      </c>
      <c r="J21" s="168">
        <f>IFERROR(H21/G21,0)</f>
        <v>0</v>
      </c>
      <c r="K21" s="168">
        <f>IFERROR(G21/C21,0)</f>
        <v>0</v>
      </c>
      <c r="L21" s="169">
        <f>Exp[[#Totals],[Column23]]</f>
        <v>0</v>
      </c>
      <c r="M21" s="170">
        <f>Exp[[#Totals],[Column27]]</f>
        <v>0</v>
      </c>
      <c r="N21" s="170">
        <f>Exp[[#Totals],[Column28]]</f>
        <v>0</v>
      </c>
      <c r="O21" s="74">
        <f>IFERROR(M21/L21,0)</f>
        <v>0</v>
      </c>
      <c r="P21" s="171">
        <f>Exp[[#Totals],[Column15]]</f>
        <v>0</v>
      </c>
      <c r="Q21" s="77">
        <f>Exp[[#Totals],[Column16]]</f>
        <v>0</v>
      </c>
      <c r="R21" s="77">
        <f>Exp[[#Totals],[Column17]]</f>
        <v>0</v>
      </c>
      <c r="S21" s="168">
        <f>IFERROR(Q21/P21,0)</f>
        <v>0</v>
      </c>
      <c r="T21" s="172">
        <f>Exp[[#Totals],[Column19]]</f>
        <v>0</v>
      </c>
      <c r="U21" s="173">
        <f>Exp[[#Totals],[Column20]]</f>
        <v>0</v>
      </c>
      <c r="V21" s="173">
        <f>Exp[[#Totals],[Column21]]</f>
        <v>0</v>
      </c>
      <c r="W21" s="174">
        <f>IFERROR(U21/T21,0)</f>
        <v>0</v>
      </c>
      <c r="X21" s="177">
        <f>Exp[[#Totals],[Column24]]</f>
        <v>0</v>
      </c>
      <c r="Y21" s="173">
        <f>Exp[[#Totals],[Column30]]</f>
        <v>0</v>
      </c>
      <c r="Z21" s="173">
        <f>Exp[[#Totals],[Column29]]</f>
        <v>0</v>
      </c>
      <c r="AA21" s="168">
        <f>IFERROR(Y21/X21,0)</f>
        <v>0</v>
      </c>
      <c r="AB21" s="175">
        <f>Exp[[#Totals],[Column26]]</f>
        <v>0</v>
      </c>
    </row>
    <row r="22" spans="1:28" x14ac:dyDescent="0.2">
      <c r="A22" s="147"/>
      <c r="C22" s="159"/>
      <c r="D22" s="160"/>
      <c r="E22" s="160"/>
      <c r="F22" s="159"/>
      <c r="G22" s="161"/>
      <c r="H22" s="1"/>
      <c r="I22" s="1"/>
      <c r="J22" s="162"/>
      <c r="K22" s="162"/>
      <c r="L22" s="159"/>
      <c r="M22" s="163"/>
      <c r="N22" s="163"/>
      <c r="O22" s="159"/>
      <c r="P22" s="164"/>
      <c r="Q22" s="1"/>
      <c r="R22" s="1"/>
      <c r="S22" s="162"/>
      <c r="T22" s="165"/>
      <c r="U22" s="165"/>
      <c r="V22" s="165"/>
      <c r="W22" s="159"/>
      <c r="X22" s="161"/>
      <c r="Y22" s="165"/>
      <c r="Z22" s="165"/>
      <c r="AA22" s="162"/>
      <c r="AB22" s="166"/>
    </row>
    <row r="23" spans="1:28" ht="36" collapsed="1" x14ac:dyDescent="0.2">
      <c r="A23" s="8">
        <v>7</v>
      </c>
      <c r="B23" s="148" t="s">
        <v>16</v>
      </c>
      <c r="C23" s="72">
        <f>Trans[[#Totals],[Column7]]</f>
        <v>0</v>
      </c>
      <c r="D23" s="70">
        <f>Trans[[#Totals],[Column8]]</f>
        <v>0</v>
      </c>
      <c r="E23" s="70">
        <f>Trans[[#Totals],[Column9]]</f>
        <v>0</v>
      </c>
      <c r="F23" s="74">
        <f>IFERROR(D23/C23,0)</f>
        <v>0</v>
      </c>
      <c r="G23" s="171">
        <f>Trans[[#Totals],[Column10]]</f>
        <v>0</v>
      </c>
      <c r="H23" s="77">
        <f>Trans[[#Totals],[Column11]]</f>
        <v>0</v>
      </c>
      <c r="I23" s="77">
        <f>Trans[[#Totals],[Column12]]</f>
        <v>0</v>
      </c>
      <c r="J23" s="168">
        <f>IFERROR(H23/G23,0)</f>
        <v>0</v>
      </c>
      <c r="K23" s="168">
        <f>IFERROR(G23/C23,0)</f>
        <v>0</v>
      </c>
      <c r="L23" s="169">
        <f>Trans[[#Totals],[Column23]]</f>
        <v>0</v>
      </c>
      <c r="M23" s="170">
        <f>Trans[[#Totals],[Column27]]</f>
        <v>0</v>
      </c>
      <c r="N23" s="170">
        <f>Trans[[#Totals],[Column28]]</f>
        <v>0</v>
      </c>
      <c r="O23" s="74">
        <f>IFERROR(M23/L23,0)</f>
        <v>0</v>
      </c>
      <c r="P23" s="171">
        <f>Trans[[#Totals],[Column15]]</f>
        <v>0</v>
      </c>
      <c r="Q23" s="77">
        <f>Trans[[#Totals],[Column16]]</f>
        <v>0</v>
      </c>
      <c r="R23" s="77">
        <f>Trans[[#Totals],[Column17]]</f>
        <v>0</v>
      </c>
      <c r="S23" s="168">
        <f>IFERROR(Q23/P23,0)</f>
        <v>0</v>
      </c>
      <c r="T23" s="172">
        <f>Trans[[#Totals],[Column19]]</f>
        <v>0</v>
      </c>
      <c r="U23" s="173">
        <f>Trans[[#Totals],[Column20]]</f>
        <v>0</v>
      </c>
      <c r="V23" s="173">
        <f>Trans[[#Totals],[Column21]]</f>
        <v>0</v>
      </c>
      <c r="W23" s="174">
        <f>IFERROR(U23/T23,0)</f>
        <v>0</v>
      </c>
      <c r="X23" s="177">
        <f>Trans[[#Totals],[Column24]]</f>
        <v>0</v>
      </c>
      <c r="Y23" s="173">
        <f>Trans[[#Totals],[Column30]]</f>
        <v>0</v>
      </c>
      <c r="Z23" s="173">
        <f>Trans[[#Totals],[Column29]]</f>
        <v>0</v>
      </c>
      <c r="AA23" s="168">
        <f>IFERROR(Y23/X23,0)</f>
        <v>0</v>
      </c>
      <c r="AB23" s="175">
        <f>Trans[[#Totals],[Column26]]</f>
        <v>0</v>
      </c>
    </row>
    <row r="24" spans="1:28" x14ac:dyDescent="0.2">
      <c r="A24" s="147"/>
      <c r="C24" s="159"/>
      <c r="D24" s="160"/>
      <c r="E24" s="160"/>
      <c r="F24" s="159"/>
      <c r="G24" s="161"/>
      <c r="H24" s="1"/>
      <c r="I24" s="1"/>
      <c r="J24" s="162"/>
      <c r="K24" s="162"/>
      <c r="L24" s="159"/>
      <c r="M24" s="163"/>
      <c r="N24" s="163"/>
      <c r="O24" s="159"/>
      <c r="P24" s="164"/>
      <c r="Q24" s="1"/>
      <c r="R24" s="1"/>
      <c r="S24" s="162"/>
      <c r="T24" s="165"/>
      <c r="U24" s="165"/>
      <c r="V24" s="165"/>
      <c r="W24" s="159"/>
      <c r="X24" s="161"/>
      <c r="Y24" s="165"/>
      <c r="Z24" s="165"/>
      <c r="AA24" s="162"/>
      <c r="AB24" s="166"/>
    </row>
    <row r="25" spans="1:28" ht="18" collapsed="1" x14ac:dyDescent="0.2">
      <c r="A25" s="8">
        <v>8</v>
      </c>
      <c r="B25" s="148" t="s">
        <v>18</v>
      </c>
      <c r="C25" s="72">
        <f>Health[[#Totals],[Column7]]</f>
        <v>0</v>
      </c>
      <c r="D25" s="70">
        <f>Health[[#Totals],[Column8]]</f>
        <v>0</v>
      </c>
      <c r="E25" s="70">
        <f>Health[[#Totals],[Column9]]</f>
        <v>0</v>
      </c>
      <c r="F25" s="74">
        <f>IFERROR(D25/C25,0)</f>
        <v>0</v>
      </c>
      <c r="G25" s="171">
        <f>Health[[#Totals],[Column10]]</f>
        <v>0</v>
      </c>
      <c r="H25" s="77">
        <f>Health[[#Totals],[Column11]]</f>
        <v>0</v>
      </c>
      <c r="I25" s="77">
        <f>Health[[#Totals],[Column12]]</f>
        <v>0</v>
      </c>
      <c r="J25" s="168">
        <f>IFERROR(H25/G25,0)</f>
        <v>0</v>
      </c>
      <c r="K25" s="168">
        <f>IFERROR(G25/C25,0)</f>
        <v>0</v>
      </c>
      <c r="L25" s="169">
        <f>Health[[#Totals],[Column7]]</f>
        <v>0</v>
      </c>
      <c r="M25" s="170">
        <f>Health[[#Totals],[Column27]]</f>
        <v>0</v>
      </c>
      <c r="N25" s="170">
        <f>Health[[#Totals],[Column28]]</f>
        <v>0</v>
      </c>
      <c r="O25" s="74">
        <f>IFERROR(M25/L25,0)</f>
        <v>0</v>
      </c>
      <c r="P25" s="171">
        <f>Health[[#Totals],[Column15]]</f>
        <v>0</v>
      </c>
      <c r="Q25" s="77">
        <f>Health[[#Totals],[Column16]]</f>
        <v>0</v>
      </c>
      <c r="R25" s="77">
        <f>Health[[#Totals],[Column17]]</f>
        <v>0</v>
      </c>
      <c r="S25" s="168">
        <f>IFERROR(Q25/P25,0)</f>
        <v>0</v>
      </c>
      <c r="T25" s="172">
        <f>Health[[#Totals],[Column19]]</f>
        <v>0</v>
      </c>
      <c r="U25" s="173">
        <f>Health[[#Totals],[Column20]]</f>
        <v>0</v>
      </c>
      <c r="V25" s="173">
        <f>Health[[#Totals],[Column21]]</f>
        <v>0</v>
      </c>
      <c r="W25" s="174">
        <f>IFERROR(U25/T25,0)</f>
        <v>0</v>
      </c>
      <c r="X25" s="177">
        <f>Health[[#Totals],[Column24]]</f>
        <v>0</v>
      </c>
      <c r="Y25" s="173">
        <f>Health[[#Totals],[Column30]]</f>
        <v>0</v>
      </c>
      <c r="Z25" s="173">
        <f>Health[[#Totals],[Column29]]</f>
        <v>0</v>
      </c>
      <c r="AA25" s="168">
        <f>IFERROR(Y25/X25,0)</f>
        <v>0</v>
      </c>
      <c r="AB25" s="175">
        <f>Health[[#Totals],[Column26]]</f>
        <v>0</v>
      </c>
    </row>
    <row r="26" spans="1:28" x14ac:dyDescent="0.2">
      <c r="A26" s="147"/>
      <c r="C26" s="159"/>
      <c r="D26" s="160"/>
      <c r="E26" s="160"/>
      <c r="F26" s="159"/>
      <c r="G26" s="161"/>
      <c r="H26" s="1"/>
      <c r="I26" s="1"/>
      <c r="J26" s="162"/>
      <c r="K26" s="162"/>
      <c r="L26" s="159"/>
      <c r="M26" s="163"/>
      <c r="N26" s="163"/>
      <c r="O26" s="159"/>
      <c r="P26" s="164"/>
      <c r="Q26" s="1"/>
      <c r="R26" s="1"/>
      <c r="S26" s="162"/>
      <c r="T26" s="165"/>
      <c r="U26" s="165"/>
      <c r="V26" s="165"/>
      <c r="W26" s="159"/>
      <c r="X26" s="161"/>
      <c r="Y26" s="165"/>
      <c r="Z26" s="165"/>
      <c r="AA26" s="162"/>
      <c r="AB26" s="166"/>
    </row>
    <row r="27" spans="1:28" ht="36" collapsed="1" x14ac:dyDescent="0.2">
      <c r="A27" s="8">
        <v>9</v>
      </c>
      <c r="B27" s="148" t="s">
        <v>20</v>
      </c>
      <c r="C27" s="72">
        <f>Info[[#Totals],[Column7]]</f>
        <v>0</v>
      </c>
      <c r="D27" s="70">
        <f>Info[[#Totals],[Column8]]</f>
        <v>0</v>
      </c>
      <c r="E27" s="70">
        <f>Info[[#Totals],[Column9]]</f>
        <v>0</v>
      </c>
      <c r="F27" s="74">
        <f>IFERROR(D27/C27,0)</f>
        <v>0</v>
      </c>
      <c r="G27" s="171">
        <f>Info[[#Totals],[Column10]]</f>
        <v>0</v>
      </c>
      <c r="H27" s="77">
        <f>Info[[#Totals],[Column11]]</f>
        <v>0</v>
      </c>
      <c r="I27" s="77">
        <f>Info[[#Totals],[Column12]]</f>
        <v>0</v>
      </c>
      <c r="J27" s="168">
        <f>IFERROR(H27/G27,0)</f>
        <v>0</v>
      </c>
      <c r="K27" s="168">
        <f>IFERROR(G27/C27,0)</f>
        <v>0</v>
      </c>
      <c r="L27" s="169">
        <f>Info[[#Totals],[Column23]]</f>
        <v>0</v>
      </c>
      <c r="M27" s="170">
        <f>Info[[#Totals],[Column27]]</f>
        <v>0</v>
      </c>
      <c r="N27" s="170">
        <f>Info[[#Totals],[Column28]]</f>
        <v>0</v>
      </c>
      <c r="O27" s="74">
        <f>IFERROR(M27/L27,0)</f>
        <v>0</v>
      </c>
      <c r="P27" s="171">
        <f>Info[[#Totals],[Column15]]</f>
        <v>0</v>
      </c>
      <c r="Q27" s="77">
        <f>Info[[#Totals],[Column16]]</f>
        <v>0</v>
      </c>
      <c r="R27" s="77">
        <f>Info[[#Totals],[Column17]]</f>
        <v>0</v>
      </c>
      <c r="S27" s="168">
        <f>IFERROR(Q27/P27,0)</f>
        <v>0</v>
      </c>
      <c r="T27" s="172">
        <f>Info[[#Totals],[Column19]]</f>
        <v>0</v>
      </c>
      <c r="U27" s="173">
        <f>Info[[#Totals],[Column20]]</f>
        <v>0</v>
      </c>
      <c r="V27" s="173">
        <f>Info[[#Totals],[Column21]]</f>
        <v>0</v>
      </c>
      <c r="W27" s="174">
        <f>IFERROR(U27/T27,0)</f>
        <v>0</v>
      </c>
      <c r="X27" s="177">
        <f>Info[[#Totals],[Column24]]</f>
        <v>0</v>
      </c>
      <c r="Y27" s="173">
        <f>Info[[#Totals],[Column30]]</f>
        <v>0</v>
      </c>
      <c r="Z27" s="173">
        <f>Info[[#Totals],[Column29]]</f>
        <v>0</v>
      </c>
      <c r="AA27" s="168">
        <f>Info[[#Totals],[Column25]]</f>
        <v>0</v>
      </c>
      <c r="AB27" s="175">
        <f>Info[[#Totals],[Column26]]</f>
        <v>0</v>
      </c>
    </row>
    <row r="28" spans="1:28" x14ac:dyDescent="0.2">
      <c r="A28" s="147"/>
      <c r="C28" s="159"/>
      <c r="D28" s="160"/>
      <c r="E28" s="160"/>
      <c r="F28" s="159"/>
      <c r="G28" s="161"/>
      <c r="H28" s="1"/>
      <c r="I28" s="1"/>
      <c r="J28" s="162"/>
      <c r="K28" s="162"/>
      <c r="L28" s="159"/>
      <c r="M28" s="163"/>
      <c r="N28" s="163"/>
      <c r="O28" s="159"/>
      <c r="P28" s="164"/>
      <c r="Q28" s="1"/>
      <c r="R28" s="1"/>
      <c r="S28" s="162"/>
      <c r="T28" s="165"/>
      <c r="U28" s="165"/>
      <c r="V28" s="165"/>
      <c r="W28" s="159"/>
      <c r="X28" s="161"/>
      <c r="Y28" s="165"/>
      <c r="Z28" s="165"/>
      <c r="AA28" s="162"/>
      <c r="AB28" s="166"/>
    </row>
    <row r="29" spans="1:28" ht="18" collapsed="1" x14ac:dyDescent="0.2">
      <c r="A29" s="8">
        <v>10</v>
      </c>
      <c r="B29" s="148" t="s">
        <v>22</v>
      </c>
      <c r="C29" s="72">
        <f>Mar[[#Totals],[Column7]]</f>
        <v>0</v>
      </c>
      <c r="D29" s="70">
        <f>Mar[[#Totals],[Column8]]</f>
        <v>0</v>
      </c>
      <c r="E29" s="70">
        <f>Mar[[#Totals],[Column9]]</f>
        <v>0</v>
      </c>
      <c r="F29" s="74">
        <f>IFERROR(D29/C29,0)</f>
        <v>0</v>
      </c>
      <c r="G29" s="171">
        <f>Mar[[#Totals],[Column10]]</f>
        <v>0</v>
      </c>
      <c r="H29" s="77">
        <f>Mar[[#Totals],[Column11]]</f>
        <v>0</v>
      </c>
      <c r="I29" s="77">
        <f>Mar[[#Totals],[Column12]]</f>
        <v>0</v>
      </c>
      <c r="J29" s="168">
        <f>IFERROR(H29/G29,0)</f>
        <v>0</v>
      </c>
      <c r="K29" s="168">
        <f>IFERROR(G29/C29,0)</f>
        <v>0</v>
      </c>
      <c r="L29" s="169">
        <f>Mar[[#Totals],[Column23]]</f>
        <v>0</v>
      </c>
      <c r="M29" s="170">
        <f>Mar[[#Totals],[Column27]]</f>
        <v>0</v>
      </c>
      <c r="N29" s="170">
        <f>Mar[[#Totals],[Column28]]</f>
        <v>0</v>
      </c>
      <c r="O29" s="74">
        <f>IFERROR(M29/L29,0)</f>
        <v>0</v>
      </c>
      <c r="P29" s="171">
        <f>Mar[[#Totals],[Column15]]</f>
        <v>0</v>
      </c>
      <c r="Q29" s="77">
        <f>Mar[[#Totals],[Column16]]</f>
        <v>0</v>
      </c>
      <c r="R29" s="77">
        <f>Mar[[#Totals],[Column17]]</f>
        <v>0</v>
      </c>
      <c r="S29" s="168">
        <f>IFERROR(Q29/P29,0)</f>
        <v>0</v>
      </c>
      <c r="T29" s="172">
        <f>Mar[[#Totals],[Column19]]</f>
        <v>0</v>
      </c>
      <c r="U29" s="173">
        <f>Mar[[#Totals],[Column20]]</f>
        <v>0</v>
      </c>
      <c r="V29" s="173">
        <f>Mar[[#Totals],[Column21]]</f>
        <v>0</v>
      </c>
      <c r="W29" s="174">
        <f>IFERROR(U29/T29,0)</f>
        <v>0</v>
      </c>
      <c r="X29" s="177">
        <f>Mar[[#Totals],[Column24]]</f>
        <v>0</v>
      </c>
      <c r="Y29" s="173">
        <f>Mar[[#Totals],[Column30]]</f>
        <v>0</v>
      </c>
      <c r="Z29" s="173">
        <f>Mar[[#Totals],[Column29]]</f>
        <v>0</v>
      </c>
      <c r="AA29" s="168">
        <f>IFERROR(Y29/X29,0)</f>
        <v>0</v>
      </c>
      <c r="AB29" s="175">
        <f>Mar[[#Totals],[Column26]]</f>
        <v>0</v>
      </c>
    </row>
    <row r="30" spans="1:28" x14ac:dyDescent="0.2">
      <c r="A30" s="147"/>
      <c r="C30" s="159"/>
      <c r="D30" s="160"/>
      <c r="E30" s="160"/>
      <c r="F30" s="159"/>
      <c r="G30" s="161"/>
      <c r="H30" s="1"/>
      <c r="I30" s="1"/>
      <c r="J30" s="162"/>
      <c r="K30" s="162"/>
      <c r="L30" s="159"/>
      <c r="M30" s="163"/>
      <c r="N30" s="163"/>
      <c r="O30" s="159"/>
      <c r="P30" s="164"/>
      <c r="Q30" s="1"/>
      <c r="R30" s="1"/>
      <c r="S30" s="162"/>
      <c r="T30" s="165"/>
      <c r="U30" s="165"/>
      <c r="V30" s="165"/>
      <c r="W30" s="159"/>
      <c r="X30" s="161"/>
      <c r="Y30" s="165"/>
      <c r="Z30" s="165"/>
      <c r="AA30" s="162"/>
      <c r="AB30" s="166"/>
    </row>
    <row r="31" spans="1:28" ht="18" collapsed="1" x14ac:dyDescent="0.2">
      <c r="A31" s="8">
        <v>11</v>
      </c>
      <c r="B31" s="148" t="s">
        <v>24</v>
      </c>
      <c r="C31" s="72">
        <f>Fin[[#Totals],[Column7]]</f>
        <v>0</v>
      </c>
      <c r="D31" s="70">
        <f>Fin[[#Totals],[Column8]]</f>
        <v>0</v>
      </c>
      <c r="E31" s="70">
        <f>Fin[[#Totals],[Column9]]</f>
        <v>0</v>
      </c>
      <c r="F31" s="74">
        <f>IFERROR(D31/C31,0)</f>
        <v>0</v>
      </c>
      <c r="G31" s="171">
        <f>Fin[[#Totals],[Column10]]</f>
        <v>0</v>
      </c>
      <c r="H31" s="77">
        <f>Fin[[#Totals],[Column11]]</f>
        <v>0</v>
      </c>
      <c r="I31" s="77">
        <f>Fin[[#Totals],[Column12]]</f>
        <v>0</v>
      </c>
      <c r="J31" s="168">
        <f>IFERROR(H31/G31,0)</f>
        <v>0</v>
      </c>
      <c r="K31" s="168">
        <f>IFERROR(G31/C31,0)</f>
        <v>0</v>
      </c>
      <c r="L31" s="169">
        <f>Fin[[#Totals],[Column23]]</f>
        <v>0</v>
      </c>
      <c r="M31" s="170">
        <f>Fin[[#Totals],[Column27]]</f>
        <v>0</v>
      </c>
      <c r="N31" s="170">
        <f>Fin[[#Totals],[Column28]]</f>
        <v>0</v>
      </c>
      <c r="O31" s="74">
        <f>IFERROR(M31/L31,0)</f>
        <v>0</v>
      </c>
      <c r="P31" s="171">
        <f>Fin[[#Totals],[Column15]]</f>
        <v>0</v>
      </c>
      <c r="Q31" s="77">
        <f>Fin[[#Totals],[Column16]]</f>
        <v>0</v>
      </c>
      <c r="R31" s="77">
        <f>Fin[[#Totals],[Column17]]</f>
        <v>0</v>
      </c>
      <c r="S31" s="168">
        <f>IFERROR(Q31/P31,0)</f>
        <v>0</v>
      </c>
      <c r="T31" s="172">
        <f>Fin[[#Totals],[Column19]]</f>
        <v>0</v>
      </c>
      <c r="U31" s="173">
        <f>Fin[[#Totals],[Column20]]</f>
        <v>0</v>
      </c>
      <c r="V31" s="173">
        <f>Fin[[#Totals],[Column21]]</f>
        <v>0</v>
      </c>
      <c r="W31" s="174">
        <f>IFERROR(U31/T31,0)</f>
        <v>0</v>
      </c>
      <c r="X31" s="177">
        <f>Fin[[#Totals],[Column24]]</f>
        <v>0</v>
      </c>
      <c r="Y31" s="173">
        <f>Fin[[#Totals],[Column30]]</f>
        <v>0</v>
      </c>
      <c r="Z31" s="173">
        <f>Fin[[#Totals],[Column29]]</f>
        <v>0</v>
      </c>
      <c r="AA31" s="168">
        <f>IFERROR(Y31/X31,0)</f>
        <v>0</v>
      </c>
      <c r="AB31" s="175">
        <f>Fin[[#Totals],[Column26]]</f>
        <v>0</v>
      </c>
    </row>
    <row r="32" spans="1:28" x14ac:dyDescent="0.2">
      <c r="A32" s="147"/>
      <c r="C32" s="159"/>
      <c r="D32" s="160"/>
      <c r="E32" s="160"/>
      <c r="F32" s="159"/>
      <c r="G32" s="161"/>
      <c r="H32" s="1"/>
      <c r="I32" s="1"/>
      <c r="J32" s="162"/>
      <c r="K32" s="162"/>
      <c r="L32" s="159"/>
      <c r="M32" s="163"/>
      <c r="N32" s="163"/>
      <c r="O32" s="159"/>
      <c r="P32" s="164"/>
      <c r="Q32" s="1"/>
      <c r="R32" s="1"/>
      <c r="S32" s="162"/>
      <c r="T32" s="165"/>
      <c r="U32" s="165"/>
      <c r="V32" s="165"/>
      <c r="W32" s="159"/>
      <c r="X32" s="161"/>
      <c r="Y32" s="165"/>
      <c r="Z32" s="165"/>
      <c r="AA32" s="162"/>
      <c r="AB32" s="166"/>
    </row>
    <row r="33" spans="1:28" ht="18" collapsed="1" x14ac:dyDescent="0.2">
      <c r="A33" s="8">
        <v>12</v>
      </c>
      <c r="B33" s="148" t="s">
        <v>26</v>
      </c>
      <c r="C33" s="72">
        <f>Inst[[#Totals],[Column7]]</f>
        <v>0</v>
      </c>
      <c r="D33" s="70">
        <f>Inst[[#Totals],[Column8]]</f>
        <v>0</v>
      </c>
      <c r="E33" s="70">
        <f>Inst[[#Totals],[Column9]]</f>
        <v>0</v>
      </c>
      <c r="F33" s="74">
        <f>IFERROR(D33/C33,0)</f>
        <v>0</v>
      </c>
      <c r="G33" s="171">
        <f>Inst[[#Totals],[Column10]]</f>
        <v>0</v>
      </c>
      <c r="H33" s="77">
        <f>Inst[[#Totals],[Column11]]</f>
        <v>0</v>
      </c>
      <c r="I33" s="77">
        <f>Inst[[#Totals],[Column12]]</f>
        <v>0</v>
      </c>
      <c r="J33" s="168">
        <f>IFERROR(H33/G33,0)</f>
        <v>0</v>
      </c>
      <c r="K33" s="168">
        <f>IFERROR(G33/C33,0)</f>
        <v>0</v>
      </c>
      <c r="L33" s="169">
        <f>Inst[[#Totals],[Column23]]</f>
        <v>0</v>
      </c>
      <c r="M33" s="170">
        <f>Inst[[#Totals],[Column27]]</f>
        <v>0</v>
      </c>
      <c r="N33" s="170">
        <f>Inst[[#Totals],[Column28]]</f>
        <v>0</v>
      </c>
      <c r="O33" s="74">
        <f>IFERROR(M33/L33,0)</f>
        <v>0</v>
      </c>
      <c r="P33" s="171">
        <f>Inst[[#Totals],[Column15]]</f>
        <v>0</v>
      </c>
      <c r="Q33" s="77">
        <f>Inst[[#Totals],[Column16]]</f>
        <v>0</v>
      </c>
      <c r="R33" s="77">
        <f>Inst[[#Totals],[Column17]]</f>
        <v>0</v>
      </c>
      <c r="S33" s="168">
        <f>IFERROR(Q33/P33,0)</f>
        <v>0</v>
      </c>
      <c r="T33" s="172">
        <f>Inst[[#Totals],[Column19]]</f>
        <v>0</v>
      </c>
      <c r="U33" s="173">
        <f>Inst[[#Totals],[Column20]]</f>
        <v>0</v>
      </c>
      <c r="V33" s="173">
        <f>Inst[[#Totals],[Column29]]</f>
        <v>0</v>
      </c>
      <c r="W33" s="174">
        <f>IFERROR(U33/T33,0)</f>
        <v>0</v>
      </c>
      <c r="X33" s="177">
        <f>Inst[[#Totals],[Column24]]</f>
        <v>0</v>
      </c>
      <c r="Y33" s="173">
        <f>Inst[[#Totals],[Column30]]</f>
        <v>0</v>
      </c>
      <c r="Z33" s="173">
        <f>Inst[[#Totals],[Column29]]</f>
        <v>0</v>
      </c>
      <c r="AA33" s="168">
        <f>IFERROR(Y33/X33,0)</f>
        <v>0</v>
      </c>
      <c r="AB33" s="175">
        <f>Inst[[#Totals],[Column26]]</f>
        <v>0</v>
      </c>
    </row>
    <row r="34" spans="1:28" x14ac:dyDescent="0.2">
      <c r="A34" s="147"/>
      <c r="C34" s="159"/>
      <c r="D34" s="160"/>
      <c r="E34" s="160"/>
      <c r="F34" s="159"/>
      <c r="G34" s="161"/>
      <c r="H34" s="1"/>
      <c r="I34" s="1"/>
      <c r="J34" s="162"/>
      <c r="K34" s="162"/>
      <c r="L34" s="159"/>
      <c r="M34" s="163"/>
      <c r="N34" s="163"/>
      <c r="O34" s="159"/>
      <c r="P34" s="164"/>
      <c r="Q34" s="1"/>
      <c r="R34" s="1"/>
      <c r="S34" s="162"/>
      <c r="T34" s="165"/>
      <c r="U34" s="165"/>
      <c r="V34" s="165"/>
      <c r="W34" s="159"/>
      <c r="X34" s="161"/>
      <c r="Y34" s="165"/>
      <c r="Z34" s="165"/>
      <c r="AA34" s="162"/>
      <c r="AB34" s="166"/>
    </row>
    <row r="35" spans="1:28" ht="18" collapsed="1" x14ac:dyDescent="0.2">
      <c r="A35" s="8">
        <v>13</v>
      </c>
      <c r="B35" s="148" t="s">
        <v>28</v>
      </c>
      <c r="C35" s="72">
        <f>Insp[[#Totals],[Column7]]</f>
        <v>0</v>
      </c>
      <c r="D35" s="70">
        <f>Insp[[#Totals],[Column8]]</f>
        <v>0</v>
      </c>
      <c r="E35" s="70">
        <f>Insp[[#Totals],[Column9]]</f>
        <v>0</v>
      </c>
      <c r="F35" s="74">
        <f>IFERROR(D35/C35,0)</f>
        <v>0</v>
      </c>
      <c r="G35" s="171">
        <f>Insp[[#Totals],[Column10]]</f>
        <v>0</v>
      </c>
      <c r="H35" s="77">
        <f>Insp[[#Totals],[Column11]]</f>
        <v>0</v>
      </c>
      <c r="I35" s="77">
        <f>Insp[[#Totals],[Column12]]</f>
        <v>0</v>
      </c>
      <c r="J35" s="168">
        <f>IFERROR(H35/G35,0)</f>
        <v>0</v>
      </c>
      <c r="K35" s="168">
        <f>IFERROR(G35/C35,0)</f>
        <v>0</v>
      </c>
      <c r="L35" s="169">
        <f>Insp[[#Totals],[Column23]]</f>
        <v>0</v>
      </c>
      <c r="M35" s="170">
        <f>Insp[[#Totals],[Column27]]</f>
        <v>0</v>
      </c>
      <c r="N35" s="170">
        <f>Insp[[#Totals],[Column28]]</f>
        <v>0</v>
      </c>
      <c r="O35" s="74">
        <f>IFERROR(M35/L35,0)</f>
        <v>0</v>
      </c>
      <c r="P35" s="171">
        <f>Insp[[#Totals],[Column15]]</f>
        <v>0</v>
      </c>
      <c r="Q35" s="77">
        <f>Insp[[#Totals],[Column16]]</f>
        <v>0</v>
      </c>
      <c r="R35" s="77">
        <f>Insp[[#Totals],[Column17]]</f>
        <v>0</v>
      </c>
      <c r="S35" s="168">
        <f>IFERROR(Q35/P35,0)</f>
        <v>0</v>
      </c>
      <c r="T35" s="172">
        <f>Insp[[#Totals],[Column19]]</f>
        <v>0</v>
      </c>
      <c r="U35" s="173">
        <f>Insp[[#Totals],[Column20]]</f>
        <v>0</v>
      </c>
      <c r="V35" s="173">
        <f>Insp[[#Totals],[Column21]]</f>
        <v>0</v>
      </c>
      <c r="W35" s="174">
        <f>IFERROR(U35/T35,0)</f>
        <v>0</v>
      </c>
      <c r="X35" s="177">
        <f>Insp[[#Totals],[Column24]]</f>
        <v>0</v>
      </c>
      <c r="Y35" s="173">
        <f>Insp[[#Totals],[Column30]]</f>
        <v>0</v>
      </c>
      <c r="Z35" s="173">
        <f>Insp[[#Totals],[Column29]]</f>
        <v>0</v>
      </c>
      <c r="AA35" s="168">
        <f>IFERROR(Y35/X35,0)</f>
        <v>0</v>
      </c>
      <c r="AB35" s="175">
        <f>Insp[[#Totals],[Column26]]</f>
        <v>0</v>
      </c>
    </row>
    <row r="36" spans="1:28" x14ac:dyDescent="0.2">
      <c r="A36" s="147"/>
      <c r="C36" s="159"/>
      <c r="D36" s="160"/>
      <c r="E36" s="160"/>
      <c r="F36" s="159"/>
      <c r="G36" s="161"/>
      <c r="H36" s="1"/>
      <c r="I36" s="1"/>
      <c r="J36" s="162"/>
      <c r="K36" s="162"/>
      <c r="L36" s="159"/>
      <c r="M36" s="163"/>
      <c r="N36" s="163"/>
      <c r="O36" s="179"/>
      <c r="P36" s="164"/>
      <c r="Q36" s="1"/>
      <c r="R36" s="1"/>
      <c r="S36" s="162"/>
      <c r="T36" s="165"/>
      <c r="U36" s="165"/>
      <c r="V36" s="165"/>
      <c r="W36" s="159"/>
      <c r="X36" s="161"/>
      <c r="Y36" s="165"/>
      <c r="Z36" s="165"/>
      <c r="AA36" s="162"/>
      <c r="AB36" s="166"/>
    </row>
    <row r="37" spans="1:28" ht="36" collapsed="1" x14ac:dyDescent="0.2">
      <c r="A37" s="8">
        <v>14</v>
      </c>
      <c r="B37" s="148" t="s">
        <v>30</v>
      </c>
      <c r="C37" s="72">
        <f>Proj[[#Totals],[Column7]]</f>
        <v>0</v>
      </c>
      <c r="D37" s="70">
        <f>Proj[[#Totals],[Column8]]</f>
        <v>0</v>
      </c>
      <c r="E37" s="70">
        <f>Proj[[#Totals],[Column9]]</f>
        <v>0</v>
      </c>
      <c r="F37" s="74">
        <f>IFERROR(D37/C37,0)</f>
        <v>0</v>
      </c>
      <c r="G37" s="171">
        <f>Proj[[#Totals],[Column10]]</f>
        <v>0</v>
      </c>
      <c r="H37" s="77">
        <f>Proj[[#Totals],[Column11]]</f>
        <v>0</v>
      </c>
      <c r="I37" s="77">
        <f>Proj[[#Totals],[Column12]]</f>
        <v>0</v>
      </c>
      <c r="J37" s="168">
        <f>IFERROR(H37/G37,0)</f>
        <v>0</v>
      </c>
      <c r="K37" s="168">
        <f>IFERROR(G37/C37,0)</f>
        <v>0</v>
      </c>
      <c r="L37" s="169">
        <f>Proj[[#Totals],[Column23]]</f>
        <v>0</v>
      </c>
      <c r="M37" s="170">
        <f>Proj[[#Totals],[Column27]]</f>
        <v>0</v>
      </c>
      <c r="N37" s="170">
        <f>Proj[[#Totals],[Column28]]</f>
        <v>0</v>
      </c>
      <c r="O37" s="74">
        <f>IFERROR(M37/L37,0)</f>
        <v>0</v>
      </c>
      <c r="P37" s="171">
        <f>Proj[[#Totals],[Column15]]</f>
        <v>0</v>
      </c>
      <c r="Q37" s="77">
        <f>Proj[[#Totals],[Column16]]</f>
        <v>0</v>
      </c>
      <c r="R37" s="77">
        <f>Proj[[#Totals],[Column17]]</f>
        <v>0</v>
      </c>
      <c r="S37" s="168">
        <f>IFERROR(Q37/P37,0)</f>
        <v>0</v>
      </c>
      <c r="T37" s="172">
        <f>Proj[[#Totals],[Column19]]</f>
        <v>0</v>
      </c>
      <c r="U37" s="173">
        <f>Proj[[#Totals],[Column20]]</f>
        <v>0</v>
      </c>
      <c r="V37" s="173">
        <f>Proj[[#Totals],[Column21]]</f>
        <v>0</v>
      </c>
      <c r="W37" s="174">
        <f>IFERROR(U37/T37,0)</f>
        <v>0</v>
      </c>
      <c r="X37" s="177">
        <f>Proj[[#Totals],[Column24]]</f>
        <v>0</v>
      </c>
      <c r="Y37" s="173">
        <f>Proj[[#Totals],[Column30]]</f>
        <v>0</v>
      </c>
      <c r="Z37" s="173">
        <f>Proj[[#Totals],[Column29]]</f>
        <v>0</v>
      </c>
      <c r="AA37" s="168">
        <f>IFERROR(Y37/X37,0)</f>
        <v>0</v>
      </c>
      <c r="AB37" s="175">
        <f>Proj[[#Totals],[Column26]]</f>
        <v>0</v>
      </c>
    </row>
    <row r="38" spans="1:28" x14ac:dyDescent="0.2">
      <c r="A38" s="147"/>
      <c r="C38" s="159"/>
      <c r="D38" s="160"/>
      <c r="E38" s="160"/>
      <c r="F38" s="159"/>
      <c r="G38" s="161"/>
      <c r="H38" s="1"/>
      <c r="I38" s="1"/>
      <c r="J38" s="162"/>
      <c r="K38" s="162"/>
      <c r="L38" s="159"/>
      <c r="M38" s="163"/>
      <c r="N38" s="163"/>
      <c r="O38" s="179"/>
      <c r="P38" s="164"/>
      <c r="Q38" s="1"/>
      <c r="R38" s="1"/>
      <c r="S38" s="162"/>
      <c r="T38" s="165"/>
      <c r="U38" s="165"/>
      <c r="V38" s="165"/>
      <c r="W38" s="159"/>
      <c r="X38" s="161"/>
      <c r="Y38" s="165"/>
      <c r="Z38" s="165"/>
      <c r="AA38" s="162"/>
      <c r="AB38" s="166"/>
    </row>
    <row r="39" spans="1:28" ht="18" collapsed="1" x14ac:dyDescent="0.2">
      <c r="A39" s="8">
        <v>15</v>
      </c>
      <c r="B39" s="148" t="s">
        <v>32</v>
      </c>
      <c r="C39" s="72">
        <f>Surv[[#Totals],[Column7]]</f>
        <v>0</v>
      </c>
      <c r="D39" s="70">
        <f>Surv[[#Totals],[Column8]]</f>
        <v>0</v>
      </c>
      <c r="E39" s="70">
        <f>Surv[[#Totals],[Column9]]</f>
        <v>0</v>
      </c>
      <c r="F39" s="74">
        <f>IFERROR(D39/C39,0)</f>
        <v>0</v>
      </c>
      <c r="G39" s="171">
        <f>Surv[[#Totals],[Column10]]</f>
        <v>0</v>
      </c>
      <c r="H39" s="77">
        <f>Surv[[#Totals],[Column16]]</f>
        <v>0</v>
      </c>
      <c r="I39" s="77">
        <f>Surv[[#Totals],[Column12]]</f>
        <v>0</v>
      </c>
      <c r="J39" s="168">
        <f>IFERROR(H39/G39,0)</f>
        <v>0</v>
      </c>
      <c r="K39" s="168">
        <f>IFERROR(G39/C39,0)</f>
        <v>0</v>
      </c>
      <c r="L39" s="169">
        <f>Surv[[#Totals],[Column23]]</f>
        <v>0</v>
      </c>
      <c r="M39" s="170">
        <f>Surv[[#Totals],[Column27]]</f>
        <v>0</v>
      </c>
      <c r="N39" s="170">
        <f>Surv[[#Totals],[Column28]]</f>
        <v>0</v>
      </c>
      <c r="O39" s="74">
        <f>IFERROR(M39/L39,0)</f>
        <v>0</v>
      </c>
      <c r="P39" s="171">
        <f>Surv[[#Totals],[Column15]]</f>
        <v>0</v>
      </c>
      <c r="Q39" s="77">
        <f>Surv[[#Totals],[Column16]]</f>
        <v>0</v>
      </c>
      <c r="R39" s="77">
        <f>Surv[[#Totals],[Column17]]</f>
        <v>0</v>
      </c>
      <c r="S39" s="168">
        <f>IFERROR(Q39/P39,0)</f>
        <v>0</v>
      </c>
      <c r="T39" s="172">
        <f>Surv[[#Totals],[Column19]]</f>
        <v>0</v>
      </c>
      <c r="U39" s="173">
        <f>Surv[[#Totals],[Column20]]</f>
        <v>0</v>
      </c>
      <c r="V39" s="173">
        <f>Surv[[#Totals],[Column21]]</f>
        <v>0</v>
      </c>
      <c r="W39" s="174">
        <f>IFERROR(U39/T39,0)</f>
        <v>0</v>
      </c>
      <c r="X39" s="177">
        <f>Surv[[#Totals],[Column24]]</f>
        <v>0</v>
      </c>
      <c r="Y39" s="173">
        <f>Surv[[#Totals],[Column30]]</f>
        <v>0</v>
      </c>
      <c r="Z39" s="173">
        <f>Surv[[#Totals],[Column29]]</f>
        <v>0</v>
      </c>
      <c r="AA39" s="168">
        <f>IFERROR(Y39/X39,0)</f>
        <v>0</v>
      </c>
      <c r="AB39" s="175">
        <f>Surv[[#Totals],[Column26]]</f>
        <v>0</v>
      </c>
    </row>
    <row r="40" spans="1:28" x14ac:dyDescent="0.2">
      <c r="A40" s="147"/>
      <c r="C40" s="159"/>
      <c r="D40" s="160"/>
      <c r="E40" s="160"/>
      <c r="F40" s="159"/>
      <c r="G40" s="161"/>
      <c r="H40" s="1"/>
      <c r="I40" s="1"/>
      <c r="J40" s="162"/>
      <c r="K40" s="162"/>
      <c r="L40" s="159"/>
      <c r="M40" s="163"/>
      <c r="N40" s="163"/>
      <c r="O40" s="179"/>
      <c r="P40" s="164"/>
      <c r="Q40" s="1"/>
      <c r="R40" s="1"/>
      <c r="S40" s="162"/>
      <c r="T40" s="165"/>
      <c r="U40" s="165"/>
      <c r="V40" s="165"/>
      <c r="W40" s="159"/>
      <c r="X40" s="161"/>
      <c r="Y40" s="165"/>
      <c r="Z40" s="165"/>
      <c r="AA40" s="162"/>
      <c r="AB40" s="166"/>
    </row>
    <row r="41" spans="1:28" ht="18" collapsed="1" x14ac:dyDescent="0.2">
      <c r="A41" s="8">
        <v>16</v>
      </c>
      <c r="B41" s="148" t="s">
        <v>34</v>
      </c>
      <c r="C41" s="72">
        <f>Mod[[#Totals],[Column7]]</f>
        <v>0</v>
      </c>
      <c r="D41" s="70">
        <f>Mod[[#Totals],[Column8]]</f>
        <v>0</v>
      </c>
      <c r="E41" s="70">
        <f>Mod[[#Totals],[Column9]]</f>
        <v>0</v>
      </c>
      <c r="F41" s="74">
        <f>IFERROR(D41/C41,0)</f>
        <v>0</v>
      </c>
      <c r="G41" s="171">
        <f>Mod[[#Totals],[Column10]]</f>
        <v>0</v>
      </c>
      <c r="H41" s="77">
        <f>Mod[[#Totals],[Column11]]</f>
        <v>0</v>
      </c>
      <c r="I41" s="77">
        <f>Mod[[#Totals],[Column12]]</f>
        <v>0</v>
      </c>
      <c r="J41" s="168">
        <f>IFERROR(H41/G41,0)</f>
        <v>0</v>
      </c>
      <c r="K41" s="168">
        <f>IFERROR(G41/C41,0)</f>
        <v>0</v>
      </c>
      <c r="L41" s="169">
        <f>Mod[[#Totals],[Column23]]</f>
        <v>0</v>
      </c>
      <c r="M41" s="170">
        <f>Mod[[#Totals],[Column27]]</f>
        <v>0</v>
      </c>
      <c r="N41" s="170">
        <f>Mod[[#Totals],[Column28]]</f>
        <v>0</v>
      </c>
      <c r="O41" s="74">
        <f>IFERROR(M41/L41,0)</f>
        <v>0</v>
      </c>
      <c r="P41" s="171">
        <f>Mod[[#Totals],[Column15]]</f>
        <v>0</v>
      </c>
      <c r="Q41" s="77">
        <f>Mod[[#Totals],[Column16]]</f>
        <v>0</v>
      </c>
      <c r="R41" s="77">
        <f>Mod[[#Totals],[Column17]]</f>
        <v>0</v>
      </c>
      <c r="S41" s="168">
        <f>IFERROR(Q41/P41,0)</f>
        <v>0</v>
      </c>
      <c r="T41" s="172">
        <f>Mod[[#Totals],[Column19]]</f>
        <v>0</v>
      </c>
      <c r="U41" s="173">
        <f>Mod[[#Totals],[Column20]]</f>
        <v>0</v>
      </c>
      <c r="V41" s="173">
        <f>Mod[[#Totals],[Column21]]</f>
        <v>0</v>
      </c>
      <c r="W41" s="174">
        <f>IFERROR(U41/T41,0)</f>
        <v>0</v>
      </c>
      <c r="X41" s="177">
        <f>Mod[[#Totals],[Column24]]</f>
        <v>0</v>
      </c>
      <c r="Y41" s="173">
        <f>Mod[[#Totals],[Column30]]</f>
        <v>0</v>
      </c>
      <c r="Z41" s="173">
        <f>Mod[[#Totals],[Column29]]</f>
        <v>0</v>
      </c>
      <c r="AA41" s="168">
        <f>IFERROR(Y41/X41,0)</f>
        <v>0</v>
      </c>
      <c r="AB41" s="175">
        <f>Mod[[#Totals],[Column26]]</f>
        <v>0</v>
      </c>
    </row>
    <row r="42" spans="1:28" x14ac:dyDescent="0.2">
      <c r="A42" s="147"/>
      <c r="C42" s="159"/>
      <c r="D42" s="160"/>
      <c r="E42" s="160"/>
      <c r="F42" s="159"/>
      <c r="G42" s="161"/>
      <c r="H42" s="1"/>
      <c r="I42" s="1"/>
      <c r="J42" s="162"/>
      <c r="K42" s="162"/>
      <c r="L42" s="159"/>
      <c r="M42" s="163"/>
      <c r="N42" s="163"/>
      <c r="O42" s="179"/>
      <c r="P42" s="164"/>
      <c r="Q42" s="1"/>
      <c r="R42" s="1"/>
      <c r="S42" s="162"/>
      <c r="T42" s="165"/>
      <c r="U42" s="165"/>
      <c r="V42" s="165"/>
      <c r="W42" s="159"/>
      <c r="X42" s="161"/>
      <c r="Y42" s="165"/>
      <c r="Z42" s="165"/>
      <c r="AA42" s="162"/>
      <c r="AB42" s="166"/>
    </row>
    <row r="43" spans="1:28" ht="18" collapsed="1" x14ac:dyDescent="0.2">
      <c r="A43" s="8">
        <v>17</v>
      </c>
      <c r="B43" s="148" t="s">
        <v>36</v>
      </c>
      <c r="C43" s="72">
        <f>Ship[[#Totals],[Column7]]</f>
        <v>0</v>
      </c>
      <c r="D43" s="70">
        <f>Ship[[#Totals],[Column8]]</f>
        <v>0</v>
      </c>
      <c r="E43" s="70">
        <f>Ship[[#Totals],[Column9]]</f>
        <v>0</v>
      </c>
      <c r="F43" s="74">
        <f>IFERROR(D43/C43,0)</f>
        <v>0</v>
      </c>
      <c r="G43" s="171">
        <f>Ship[[#Totals],[Column10]]</f>
        <v>0</v>
      </c>
      <c r="H43" s="77">
        <f>Ship[[#Totals],[Column11]]</f>
        <v>0</v>
      </c>
      <c r="I43" s="77">
        <f>Ship[[#Totals],[Column12]]</f>
        <v>0</v>
      </c>
      <c r="J43" s="168">
        <f>IFERROR(H43/G43,0)</f>
        <v>0</v>
      </c>
      <c r="K43" s="168">
        <f>IFERROR(G43/C43,0)</f>
        <v>0</v>
      </c>
      <c r="L43" s="169">
        <f>Ship[[#Totals],[Column23]]</f>
        <v>0</v>
      </c>
      <c r="M43" s="170">
        <f>Ship[[#Totals],[Column27]]</f>
        <v>0</v>
      </c>
      <c r="N43" s="170">
        <f>Ship[[#Totals],[Column28]]</f>
        <v>0</v>
      </c>
      <c r="O43" s="74">
        <f>IFERROR(M43/L43,0)</f>
        <v>0</v>
      </c>
      <c r="P43" s="171">
        <f>Ship[[#Totals],[Column15]]</f>
        <v>0</v>
      </c>
      <c r="Q43" s="77">
        <f>Ship[[#Totals],[Column16]]</f>
        <v>0</v>
      </c>
      <c r="R43" s="77">
        <f>Ship[[#Totals],[Column17]]</f>
        <v>0</v>
      </c>
      <c r="S43" s="168">
        <f>IFERROR(Q43/P43,0)</f>
        <v>0</v>
      </c>
      <c r="T43" s="172">
        <f>Ship[[#Totals],[Column19]]</f>
        <v>0</v>
      </c>
      <c r="U43" s="173">
        <f>Ship[[#Totals],[Column20]]</f>
        <v>0</v>
      </c>
      <c r="V43" s="173">
        <f>Ship[[#Totals],[Column21]]</f>
        <v>0</v>
      </c>
      <c r="W43" s="174">
        <f>IFERROR(U43/T43,0)</f>
        <v>0</v>
      </c>
      <c r="X43" s="177">
        <f>Ship[[#Totals],[Column24]]</f>
        <v>0</v>
      </c>
      <c r="Y43" s="173">
        <f>Ship[[#Totals],[Column30]]</f>
        <v>0</v>
      </c>
      <c r="Z43" s="173">
        <f>Ship[[#Totals],[Column29]]</f>
        <v>0</v>
      </c>
      <c r="AA43" s="168">
        <f>IFERROR(Y43/X43,0)</f>
        <v>0</v>
      </c>
      <c r="AB43" s="175">
        <f>Ship[[#Totals],[Column26]]</f>
        <v>0</v>
      </c>
    </row>
    <row r="44" spans="1:28" x14ac:dyDescent="0.2">
      <c r="A44" s="147"/>
      <c r="C44" s="159"/>
      <c r="D44" s="160"/>
      <c r="E44" s="160"/>
      <c r="F44" s="159"/>
      <c r="G44" s="161"/>
      <c r="H44" s="1"/>
      <c r="I44" s="1"/>
      <c r="J44" s="162"/>
      <c r="K44" s="162"/>
      <c r="L44" s="159"/>
      <c r="M44" s="163"/>
      <c r="N44" s="163"/>
      <c r="O44" s="179"/>
      <c r="P44" s="164"/>
      <c r="Q44" s="1"/>
      <c r="R44" s="1"/>
      <c r="S44" s="162"/>
      <c r="T44" s="165"/>
      <c r="U44" s="165"/>
      <c r="V44" s="165"/>
      <c r="W44" s="159"/>
      <c r="X44" s="161"/>
      <c r="Y44" s="165"/>
      <c r="Z44" s="165"/>
      <c r="AA44" s="162"/>
      <c r="AB44" s="166"/>
    </row>
    <row r="45" spans="1:28" ht="18" collapsed="1" x14ac:dyDescent="0.2">
      <c r="A45" s="8">
        <v>18</v>
      </c>
      <c r="B45" s="148" t="s">
        <v>38</v>
      </c>
      <c r="C45" s="72">
        <f>Others[[#Totals],[Column7]]</f>
        <v>2</v>
      </c>
      <c r="D45" s="70">
        <f>Others[[#Totals],[Column8]]</f>
        <v>0</v>
      </c>
      <c r="E45" s="70">
        <f>Others[[#Totals],[Column9]]</f>
        <v>2</v>
      </c>
      <c r="F45" s="74">
        <f>IFERROR(D45/C45,0)</f>
        <v>0</v>
      </c>
      <c r="G45" s="171">
        <f>Others[[#Totals],[Column10]]</f>
        <v>0</v>
      </c>
      <c r="H45" s="77">
        <f>Others[[#Totals],[Column11]]</f>
        <v>0</v>
      </c>
      <c r="I45" s="77">
        <f>Others[[#Totals],[Column12]]</f>
        <v>0</v>
      </c>
      <c r="J45" s="168">
        <f>IFERROR(H45/G45,0)</f>
        <v>0</v>
      </c>
      <c r="K45" s="168">
        <f>IFERROR(G45/C45,0)</f>
        <v>0</v>
      </c>
      <c r="L45" s="169">
        <f>Others[[#Totals],[Column23]]</f>
        <v>0</v>
      </c>
      <c r="M45" s="170">
        <f>Others[[#Totals],[Column27]]</f>
        <v>0</v>
      </c>
      <c r="N45" s="170">
        <f>Others[[#Totals],[Column28]]</f>
        <v>0</v>
      </c>
      <c r="O45" s="74">
        <f>IFERROR(M45/L45,0)</f>
        <v>0</v>
      </c>
      <c r="P45" s="171">
        <f>Others[[#Totals],[Column15]]</f>
        <v>0</v>
      </c>
      <c r="Q45" s="77">
        <f>Others[[#Totals],[Column16]]</f>
        <v>0</v>
      </c>
      <c r="R45" s="77">
        <f>Others[[#Totals],[Column17]]</f>
        <v>0</v>
      </c>
      <c r="S45" s="168">
        <f>IFERROR(Q45/P45,0)</f>
        <v>0</v>
      </c>
      <c r="T45" s="172">
        <f>Others[[#Totals],[Column19]]</f>
        <v>0</v>
      </c>
      <c r="U45" s="173">
        <f>Others[[#Totals],[Column20]]</f>
        <v>0</v>
      </c>
      <c r="V45" s="173">
        <f>Others[[#Totals],[Column21]]</f>
        <v>0</v>
      </c>
      <c r="W45" s="174">
        <f>IFERROR(U45/T45,0)</f>
        <v>0</v>
      </c>
      <c r="X45" s="177">
        <f>Others[[#Totals],[Column24]]</f>
        <v>0</v>
      </c>
      <c r="Y45" s="173">
        <f>Others[[#Totals],[Column30]]</f>
        <v>0</v>
      </c>
      <c r="Z45" s="173">
        <f>Others[[#Totals],[Column29]]</f>
        <v>0</v>
      </c>
      <c r="AA45" s="168">
        <f>IFERROR(Y45/X45,0)</f>
        <v>0</v>
      </c>
      <c r="AB45" s="175">
        <f>Others[[#Totals],[Column26]]</f>
        <v>0</v>
      </c>
    </row>
    <row r="46" spans="1:28" x14ac:dyDescent="0.2">
      <c r="A46" s="147"/>
      <c r="C46" s="159"/>
      <c r="D46" s="1"/>
      <c r="E46" s="1"/>
      <c r="F46" s="159"/>
      <c r="G46" s="161"/>
      <c r="H46" s="1"/>
      <c r="I46" s="1"/>
      <c r="J46" s="162"/>
      <c r="K46" s="162"/>
      <c r="L46" s="159"/>
      <c r="M46" s="163"/>
      <c r="N46" s="163"/>
      <c r="O46" s="159"/>
      <c r="P46" s="164"/>
      <c r="Q46" s="1"/>
      <c r="R46" s="1"/>
      <c r="S46" s="162"/>
      <c r="T46" s="165"/>
      <c r="U46" s="165"/>
      <c r="V46" s="165"/>
      <c r="W46" s="159"/>
      <c r="X46" s="161"/>
      <c r="Y46" s="165"/>
      <c r="Z46" s="165"/>
      <c r="AA46" s="162"/>
      <c r="AB46" s="166"/>
    </row>
    <row r="47" spans="1:28" ht="31.5" customHeight="1" thickBot="1" x14ac:dyDescent="0.25">
      <c r="A47" s="644"/>
      <c r="B47" s="645"/>
      <c r="C47" s="180">
        <f>C11+C13+C15+C17+C19+C21+C23+C25+C27+C29+C31+C33+C35+C37+C39+C41+C43+C45</f>
        <v>2</v>
      </c>
      <c r="D47" s="181">
        <f>D11+D13+D15+D17+D19+D21+D23+D25+D27+D29+D31+D33+D35+D37+D39+D41+D43+D45</f>
        <v>0</v>
      </c>
      <c r="E47" s="181">
        <f>E11+E13+E15+E17+E19+E21+E23+E25+E27+E29+E31+E33+E35+E37+E39+E41+E43+E45</f>
        <v>2</v>
      </c>
      <c r="F47" s="182">
        <f>IFERROR(D47/C47,0)</f>
        <v>0</v>
      </c>
      <c r="G47" s="183">
        <f>G11+G13+G15+G17+G19+G21+G23+G25+G27+G29+G31+G33+G35+G37+G39+G41+G43+G45</f>
        <v>0</v>
      </c>
      <c r="H47" s="181">
        <f>H11+H13+H15+H17+H19+H21+H23+H25+H27+H29+H31+H33+H35+H37+H39+H41+H43+H45</f>
        <v>0</v>
      </c>
      <c r="I47" s="181">
        <f>I11+I13+I15+I17+I19+I21+I23+I25+I27+I29+I31+I33+I35+I37+I39+I41+I43+I45</f>
        <v>0</v>
      </c>
      <c r="J47" s="184">
        <f>IFERROR(H47/G47,0)</f>
        <v>0</v>
      </c>
      <c r="K47" s="184">
        <f>IFERROR(G47/C47,0)</f>
        <v>0</v>
      </c>
      <c r="L47" s="185">
        <f>L11+L13+L15+L17+L19+L21+L23+L25+L27+L29+L31+L33+L35+L37+L39+L41+L43+L45</f>
        <v>0</v>
      </c>
      <c r="M47" s="186">
        <f>M11+M13+M15+M17+M19+M21+M23+M25+M27+M29+M31+M33+M35+M37+M39+M41+M43+M45</f>
        <v>0</v>
      </c>
      <c r="N47" s="186">
        <f>N11+N13+N15+N17+N19+N21+N23+N25+N27+N29+N31+N33+N35+N37+N39+N41+N43+N45</f>
        <v>0</v>
      </c>
      <c r="O47" s="182">
        <f>IFERROR(M47/L47,0)</f>
        <v>0</v>
      </c>
      <c r="P47" s="183">
        <f>P11+P13+P15+P17+P19+P21+P23+P25+P27+P29+P31+P33+P35+P37+P39+P41+P43+P45</f>
        <v>0</v>
      </c>
      <c r="Q47" s="181">
        <f>Q11+Q13+Q15+Q17+Q19+Q21+Q23+Q25+Q27+Q29+Q31+Q33+Q35+Q37+Q39+Q41+Q43+Q45</f>
        <v>0</v>
      </c>
      <c r="R47" s="181">
        <f>R11+R13+R15+R17+R19+R21+R23+R25+R27+R29+R31+R33+R35+R37+R39+R41+R43+R45</f>
        <v>0</v>
      </c>
      <c r="S47" s="184">
        <f>IFERROR(Q47/P47,0)</f>
        <v>0</v>
      </c>
      <c r="T47" s="187">
        <f>T11+T13+T15+T17+T19+T21+T23+T25+T27+T29+T31+T33+T35+T37+T39+T41+T43+T45</f>
        <v>0</v>
      </c>
      <c r="U47" s="188">
        <f>U11+U13+U15+U17+U19+U21+U23+U25+U27+U29+U31+U33+U35+U37+U39+U41+U43+U45</f>
        <v>0</v>
      </c>
      <c r="V47" s="188">
        <f>V11+V13+V15+V17+V19+V21+V23+V25+V27+V29+V31+V33+V35+V37+V39+V41+V43+V45</f>
        <v>0</v>
      </c>
      <c r="W47" s="189">
        <f>IFERROR(U47/T47,0)</f>
        <v>0</v>
      </c>
      <c r="X47" s="190">
        <f>X11+X13+X15+X17+X19+X21+X23+X25+X27+X29+X31+X33+X35+X37+X39+X41+X43+X45</f>
        <v>0</v>
      </c>
      <c r="Y47" s="188">
        <f>Y11+Y13+Y15+Y17+Y19+Y21+Y23+Y25+Y27+Y29+Y31+Y33+Y35+Y37+Y39+Y41+Y43+Y45</f>
        <v>0</v>
      </c>
      <c r="Z47" s="188">
        <f>Z11+Z13+Z15+Z17+Z19+Z21+Z23+Z25+Z27+Z29+Z31+Z33+Z35+Z37+Z39+Z41+Z43+Z45</f>
        <v>0</v>
      </c>
      <c r="AA47" s="184">
        <f>IFERROR(Y47/X47,0)</f>
        <v>0</v>
      </c>
      <c r="AB47" s="191">
        <f>IFERROR(X47/T47,0)</f>
        <v>0</v>
      </c>
    </row>
  </sheetData>
  <dataConsolidate link="1">
    <dataRefs count="3">
      <dataRef ref="L13:AB13" sheet="#1"/>
      <dataRef ref="L13:AB13" sheet="#2"/>
      <dataRef ref="L13:AB13" sheet="#3"/>
    </dataRefs>
  </dataConsolidate>
  <mergeCells count="14">
    <mergeCell ref="P9:S9"/>
    <mergeCell ref="T9:W9"/>
    <mergeCell ref="X9:AA9"/>
    <mergeCell ref="A47:B47"/>
    <mergeCell ref="B2:C2"/>
    <mergeCell ref="B3:C3"/>
    <mergeCell ref="B4:C4"/>
    <mergeCell ref="A8:W8"/>
    <mergeCell ref="X8:AB8"/>
    <mergeCell ref="A9:A10"/>
    <mergeCell ref="B9:B10"/>
    <mergeCell ref="C9:F9"/>
    <mergeCell ref="G9:J9"/>
    <mergeCell ref="L9:O9"/>
  </mergeCells>
  <hyperlinks>
    <hyperlink ref="B11" location="'#1'!A1" display="Feed And Detailed Engineering And Other Engineering Services" xr:uid="{2BA1A98B-5D15-4AF7-BCC2-083BFBD20059}"/>
    <hyperlink ref="B13" location="'#2'!A1" display="Fabrication And Construction" xr:uid="{315B4F3A-7F4E-461F-9442-80DCA2F4143A}"/>
    <hyperlink ref="B15" location="'#3'!A1" display="Materials And Procurement" xr:uid="{94A17D12-7055-4071-B4AC-7AD728D3AA7F}"/>
    <hyperlink ref="B17" location="'#4'!A1" display="Well &amp; Drilling Services / Petroleum Technology" xr:uid="{B217644A-6F0B-43AB-A918-00EE0117D27B}"/>
    <hyperlink ref="B19" location="'#5'!A1" display="Research And Development" xr:uid="{E51DAB7C-7F68-4956-9A78-B12941392F1B}"/>
    <hyperlink ref="B21" location="'#6'!A1" display="Exploration, Subsurface, Petroleum Engineering &amp; Seismic" xr:uid="{C0F76074-7022-4F42-AD31-9A94C49BAC8F}"/>
    <hyperlink ref="B23" location="'#7'!A1" display="Transportation / Supply / Disposal Services" xr:uid="{CF693478-A172-4962-9402-EBAB41571DD6}"/>
    <hyperlink ref="B25" location="'#8'!A1" display="Health, Safety &amp; Environment" xr:uid="{0C99F854-1A63-4161-AB3E-354E41E605FD}"/>
    <hyperlink ref="B27" location="'#9'!A1" display="Information Systems / Information Technology / Communication Services" xr:uid="{B089E87C-E6D0-405E-A93C-46C838933A03}"/>
    <hyperlink ref="B29" location="'#10'!A1" display="Marine, Operations &amp; Logistics Services" xr:uid="{9E0E0A47-AF89-41E3-9121-72B52C3F544A}"/>
    <hyperlink ref="B31" location="'#11'!A1" display="Finance &amp; Insurance" xr:uid="{4FF77255-0C86-4C9B-8145-A5921EE72A12}"/>
    <hyperlink ref="B33" location="'#12'!A1" display="Installation, Hookup &amp; Commissioning" xr:uid="{0AA1BC2A-F6E3-459F-8D8D-9EC2D9A92100}"/>
    <hyperlink ref="B35" location="'#13'!A1" display="Inspection, Testing &amp; Certification" xr:uid="{17CA9EB0-3F95-487B-B43D-7635362058A0}"/>
    <hyperlink ref="B37" location="'#14'!A1" display="Project Management / Consulting Services" xr:uid="{AD749380-AB53-44C6-BFD6-AA89CC73B3B0}"/>
    <hyperlink ref="B39" location="'#15'!A1" display="Surveying / Positioning Services" xr:uid="{E0190205-8C51-46E4-AB21-657861463684}"/>
    <hyperlink ref="B41" location="'#16'!A1" display="Modification &amp; Maintenance" xr:uid="{1DE8DC68-6F59-46AD-AD59-0CDC868A77C3}"/>
    <hyperlink ref="B43" location="'#17'!A1" display="Shipping" xr:uid="{2E329BCF-3DCE-40CD-BF54-1965A280D3D9}"/>
    <hyperlink ref="B45" location="'#18'!A1" display="Others" xr:uid="{CF56FB73-E7E1-40CA-A4AB-E11A91E3C5DA}"/>
  </hyperlinks>
  <pageMargins left="0.7" right="0.7" top="0.75" bottom="0.75" header="0.3" footer="0.3"/>
  <pageSetup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A4081-A924-4380-A5B5-9A66B7F0C8FF}">
  <dimension ref="A1:AB47"/>
  <sheetViews>
    <sheetView tabSelected="1" topLeftCell="A5" zoomScale="55" zoomScaleNormal="55" workbookViewId="0">
      <selection activeCell="L4" sqref="L4"/>
    </sheetView>
  </sheetViews>
  <sheetFormatPr baseColWidth="10" defaultColWidth="9.1640625" defaultRowHeight="17" x14ac:dyDescent="0.2"/>
  <cols>
    <col min="1" max="1" width="6.5" style="2" customWidth="1"/>
    <col min="2" max="2" width="41.1640625" style="2" customWidth="1"/>
    <col min="3" max="3" width="12.6640625" style="2" customWidth="1"/>
    <col min="4" max="6" width="17.5" style="2" customWidth="1"/>
    <col min="7" max="7" width="13.5" style="2" customWidth="1"/>
    <col min="8" max="8" width="20.83203125" style="2" bestFit="1" customWidth="1"/>
    <col min="9" max="9" width="14.1640625" style="2" customWidth="1"/>
    <col min="10" max="10" width="14.5" style="2" customWidth="1"/>
    <col min="11" max="11" width="16.6640625" style="2" customWidth="1"/>
    <col min="12" max="15" width="14.5" style="2" customWidth="1"/>
    <col min="16" max="16" width="10.5" style="2" customWidth="1"/>
    <col min="17" max="18" width="6.5" style="2" customWidth="1"/>
    <col min="19" max="19" width="7.5" style="2" customWidth="1"/>
    <col min="20" max="20" width="21.5" style="2" customWidth="1"/>
    <col min="21" max="21" width="20.1640625" style="2" customWidth="1"/>
    <col min="22" max="22" width="16.6640625" style="2" customWidth="1"/>
    <col min="23" max="23" width="7.5" style="2" customWidth="1"/>
    <col min="24" max="24" width="21.5" style="2" customWidth="1"/>
    <col min="25" max="25" width="20.1640625" style="2" customWidth="1"/>
    <col min="26" max="26" width="16.6640625" style="2" customWidth="1"/>
    <col min="27" max="27" width="14.33203125" style="2" customWidth="1"/>
    <col min="28" max="28" width="13" style="2" customWidth="1"/>
    <col min="29" max="16384" width="9.1640625" style="2"/>
  </cols>
  <sheetData>
    <row r="1" spans="1:28" ht="18" thickBot="1" x14ac:dyDescent="0.25">
      <c r="B1" s="3" t="s">
        <v>72</v>
      </c>
      <c r="C1" s="3"/>
      <c r="D1" s="3"/>
      <c r="E1" s="3"/>
      <c r="F1" s="3"/>
      <c r="G1" s="16"/>
      <c r="H1" s="16"/>
      <c r="I1" s="16"/>
    </row>
    <row r="2" spans="1:28" ht="34" x14ac:dyDescent="0.2">
      <c r="B2" s="646" t="s">
        <v>40</v>
      </c>
      <c r="C2" s="647"/>
      <c r="D2" s="64"/>
      <c r="E2" s="64">
        <f>'Plan-NCCC'!C2</f>
        <v>0</v>
      </c>
      <c r="F2" s="64"/>
      <c r="G2" s="38"/>
      <c r="H2" s="37" t="s">
        <v>73</v>
      </c>
      <c r="I2" s="39">
        <f>'Plan-NCCC'!E2</f>
        <v>0</v>
      </c>
    </row>
    <row r="3" spans="1:28" ht="34" x14ac:dyDescent="0.2">
      <c r="B3" s="648" t="s">
        <v>42</v>
      </c>
      <c r="C3" s="649"/>
      <c r="D3" s="65"/>
      <c r="E3" s="65">
        <f>'Plan-NCCC'!C3</f>
        <v>0</v>
      </c>
      <c r="F3" s="65"/>
      <c r="G3" s="41"/>
      <c r="H3" s="40" t="s">
        <v>74</v>
      </c>
      <c r="I3" s="42">
        <f>'Plan-NCCC'!E3</f>
        <v>0</v>
      </c>
    </row>
    <row r="4" spans="1:28" ht="35" thickBot="1" x14ac:dyDescent="0.25">
      <c r="B4" s="650" t="s">
        <v>44</v>
      </c>
      <c r="C4" s="651"/>
      <c r="D4" s="66"/>
      <c r="E4" s="66">
        <f>'Plan-NCCC'!C4</f>
        <v>0</v>
      </c>
      <c r="F4" s="66"/>
      <c r="G4" s="44"/>
      <c r="H4" s="40" t="s">
        <v>45</v>
      </c>
      <c r="I4" s="45">
        <f>'Plan-NCCC'!E4</f>
        <v>0</v>
      </c>
    </row>
    <row r="5" spans="1:28" ht="34" x14ac:dyDescent="0.2">
      <c r="B5" s="46"/>
      <c r="C5" s="46"/>
      <c r="D5" s="46"/>
      <c r="E5" s="46"/>
      <c r="F5" s="46"/>
      <c r="G5" s="47"/>
      <c r="H5" s="40" t="s">
        <v>76</v>
      </c>
      <c r="I5" s="45">
        <f>'Plan-NCCC'!E5</f>
        <v>0</v>
      </c>
    </row>
    <row r="6" spans="1:28" ht="18" thickBot="1" x14ac:dyDescent="0.25">
      <c r="B6" s="46"/>
      <c r="C6" s="46"/>
      <c r="D6" s="46"/>
      <c r="E6" s="46"/>
      <c r="F6" s="46"/>
      <c r="G6" s="48"/>
      <c r="H6" s="43" t="s">
        <v>47</v>
      </c>
      <c r="I6" s="49">
        <f>'Plan-NCCC'!E6</f>
        <v>0</v>
      </c>
    </row>
    <row r="7" spans="1:28" ht="33" customHeight="1" x14ac:dyDescent="0.2">
      <c r="A7" s="3" t="s">
        <v>105</v>
      </c>
    </row>
    <row r="8" spans="1:28" ht="56.5" customHeight="1" thickBot="1" x14ac:dyDescent="0.25">
      <c r="A8" s="652" t="s">
        <v>106</v>
      </c>
      <c r="B8" s="652"/>
      <c r="C8" s="652"/>
      <c r="D8" s="652"/>
      <c r="E8" s="652"/>
      <c r="F8" s="652"/>
      <c r="G8" s="652"/>
      <c r="H8" s="652"/>
      <c r="I8" s="652"/>
      <c r="J8" s="652"/>
      <c r="K8" s="652"/>
      <c r="L8" s="652"/>
      <c r="M8" s="652"/>
      <c r="N8" s="652"/>
      <c r="O8" s="652"/>
      <c r="P8" s="652"/>
      <c r="Q8" s="652"/>
      <c r="R8" s="652"/>
      <c r="S8" s="652"/>
      <c r="T8" s="652"/>
      <c r="U8" s="652"/>
      <c r="V8" s="652"/>
      <c r="W8" s="653"/>
      <c r="X8" s="653"/>
      <c r="Y8" s="654"/>
      <c r="Z8" s="654"/>
      <c r="AA8" s="654"/>
      <c r="AB8" s="655"/>
    </row>
    <row r="9" spans="1:28" ht="83.5" customHeight="1" thickBot="1" x14ac:dyDescent="0.25">
      <c r="A9" s="629" t="s">
        <v>50</v>
      </c>
      <c r="B9" s="657" t="s">
        <v>51</v>
      </c>
      <c r="C9" s="639" t="s">
        <v>107</v>
      </c>
      <c r="D9" s="640"/>
      <c r="E9" s="640"/>
      <c r="F9" s="641"/>
      <c r="G9" s="639" t="s">
        <v>108</v>
      </c>
      <c r="H9" s="640"/>
      <c r="I9" s="640"/>
      <c r="J9" s="641"/>
      <c r="K9" s="345" t="s">
        <v>150</v>
      </c>
      <c r="L9" s="639" t="s">
        <v>109</v>
      </c>
      <c r="M9" s="640"/>
      <c r="N9" s="640"/>
      <c r="O9" s="641"/>
      <c r="P9" s="639" t="s">
        <v>110</v>
      </c>
      <c r="Q9" s="640"/>
      <c r="R9" s="640"/>
      <c r="S9" s="641"/>
      <c r="T9" s="642" t="s">
        <v>111</v>
      </c>
      <c r="U9" s="637"/>
      <c r="V9" s="637"/>
      <c r="W9" s="643"/>
      <c r="X9" s="642" t="s">
        <v>112</v>
      </c>
      <c r="Y9" s="637"/>
      <c r="Z9" s="637"/>
      <c r="AA9" s="643"/>
      <c r="AB9" s="345" t="s">
        <v>151</v>
      </c>
    </row>
    <row r="10" spans="1:28" ht="83.5" customHeight="1" thickBot="1" x14ac:dyDescent="0.25">
      <c r="A10" s="656"/>
      <c r="B10" s="658"/>
      <c r="C10" s="342" t="s">
        <v>64</v>
      </c>
      <c r="D10" s="343" t="s">
        <v>62</v>
      </c>
      <c r="E10" s="343" t="s">
        <v>63</v>
      </c>
      <c r="F10" s="344" t="s">
        <v>47</v>
      </c>
      <c r="G10" s="342" t="s">
        <v>64</v>
      </c>
      <c r="H10" s="343" t="s">
        <v>62</v>
      </c>
      <c r="I10" s="343" t="s">
        <v>63</v>
      </c>
      <c r="J10" s="344" t="s">
        <v>47</v>
      </c>
      <c r="K10" s="348" t="s">
        <v>96</v>
      </c>
      <c r="L10" s="342" t="s">
        <v>64</v>
      </c>
      <c r="M10" s="343" t="s">
        <v>62</v>
      </c>
      <c r="N10" s="343" t="s">
        <v>63</v>
      </c>
      <c r="O10" s="344" t="s">
        <v>47</v>
      </c>
      <c r="P10" s="342" t="s">
        <v>64</v>
      </c>
      <c r="Q10" s="343" t="s">
        <v>62</v>
      </c>
      <c r="R10" s="343" t="s">
        <v>63</v>
      </c>
      <c r="S10" s="344" t="s">
        <v>47</v>
      </c>
      <c r="T10" s="342" t="s">
        <v>90</v>
      </c>
      <c r="U10" s="343" t="s">
        <v>65</v>
      </c>
      <c r="V10" s="343" t="s">
        <v>113</v>
      </c>
      <c r="W10" s="344" t="s">
        <v>47</v>
      </c>
      <c r="X10" s="346" t="s">
        <v>90</v>
      </c>
      <c r="Y10" s="347" t="s">
        <v>65</v>
      </c>
      <c r="Z10" s="202" t="s">
        <v>114</v>
      </c>
      <c r="AA10" s="202" t="s">
        <v>95</v>
      </c>
      <c r="AB10" s="348" t="s">
        <v>96</v>
      </c>
    </row>
    <row r="11" spans="1:28" ht="36" collapsed="1" x14ac:dyDescent="0.2">
      <c r="A11" s="5">
        <v>1</v>
      </c>
      <c r="B11" s="146" t="s">
        <v>4</v>
      </c>
      <c r="C11" s="71">
        <f>Eng[[#Totals],[Column7]]</f>
        <v>0</v>
      </c>
      <c r="D11" s="69">
        <f>Eng[[#Totals],[Column8]]</f>
        <v>0</v>
      </c>
      <c r="E11" s="69">
        <f>Eng[[#Totals],[Column9]]</f>
        <v>0</v>
      </c>
      <c r="F11" s="73">
        <f>IFERROR(D11/C11,0)</f>
        <v>0</v>
      </c>
      <c r="G11" s="149">
        <f>Eng[[#Totals],[Column10]]</f>
        <v>0</v>
      </c>
      <c r="H11" s="150">
        <f>Eng[[#Totals],[Column11]]</f>
        <v>0</v>
      </c>
      <c r="I11" s="150">
        <f>Eng[[#Totals],[Column12]]</f>
        <v>0</v>
      </c>
      <c r="J11" s="151">
        <f>IFERROR(H11/G11,0)</f>
        <v>0</v>
      </c>
      <c r="K11" s="151">
        <f>IFERROR(G11/C11,0)</f>
        <v>0</v>
      </c>
      <c r="L11" s="152">
        <f>Eng[[#Totals],[Column23]]</f>
        <v>0</v>
      </c>
      <c r="M11" s="153">
        <f>Eng[[#Totals],[Column27]]</f>
        <v>0</v>
      </c>
      <c r="N11" s="153">
        <f>Eng[[#Totals],[Column28]]</f>
        <v>0</v>
      </c>
      <c r="O11" s="73">
        <f>IFERROR(M11/L11,0)</f>
        <v>0</v>
      </c>
      <c r="P11" s="149">
        <f>Eng[[#Totals],[Column15]]</f>
        <v>0</v>
      </c>
      <c r="Q11" s="150">
        <f>Eng[[#Totals],[Column16]]</f>
        <v>0</v>
      </c>
      <c r="R11" s="150">
        <f>Eng[[#Totals],[Column17]]</f>
        <v>0</v>
      </c>
      <c r="S11" s="151">
        <f>IFERROR(Q11/P11,0)</f>
        <v>0</v>
      </c>
      <c r="T11" s="154">
        <f>Eng[[#Totals],[Column19]]</f>
        <v>0</v>
      </c>
      <c r="U11" s="155">
        <f>Eng[[#Totals],[Column20]]</f>
        <v>0</v>
      </c>
      <c r="V11" s="155">
        <f>Eng[[#Totals],[Column21]]</f>
        <v>0</v>
      </c>
      <c r="W11" s="156">
        <f>IFERROR(U11/T11,0)</f>
        <v>0</v>
      </c>
      <c r="X11" s="157">
        <f>Eng[[#Totals],[Column24]]</f>
        <v>0</v>
      </c>
      <c r="Y11" s="155">
        <f>Eng[[#Totals],[Column30]]</f>
        <v>0</v>
      </c>
      <c r="Z11" s="155">
        <f>Eng[[#Totals],[Column29]]</f>
        <v>0</v>
      </c>
      <c r="AA11" s="151">
        <f>IFERROR(Y11/X11,0)</f>
        <v>0</v>
      </c>
      <c r="AB11" s="158">
        <f>Eng[[#Totals],[Column26]]</f>
        <v>0</v>
      </c>
    </row>
    <row r="12" spans="1:28" x14ac:dyDescent="0.2">
      <c r="A12" s="147"/>
      <c r="C12" s="159"/>
      <c r="D12" s="160"/>
      <c r="E12" s="160"/>
      <c r="F12" s="159"/>
      <c r="G12" s="161"/>
      <c r="H12" s="1"/>
      <c r="I12" s="1"/>
      <c r="J12" s="162"/>
      <c r="K12" s="162"/>
      <c r="L12" s="159"/>
      <c r="M12" s="163"/>
      <c r="N12" s="163"/>
      <c r="O12" s="159"/>
      <c r="P12" s="164"/>
      <c r="Q12" s="1"/>
      <c r="R12" s="1"/>
      <c r="S12" s="162"/>
      <c r="T12" s="165"/>
      <c r="U12" s="165"/>
      <c r="V12" s="165"/>
      <c r="W12" s="159"/>
      <c r="X12" s="161"/>
      <c r="Y12" s="165"/>
      <c r="Z12" s="165"/>
      <c r="AA12" s="162"/>
      <c r="AB12" s="166"/>
    </row>
    <row r="13" spans="1:28" ht="19" customHeight="1" collapsed="1" x14ac:dyDescent="0.2">
      <c r="A13" s="8">
        <v>2</v>
      </c>
      <c r="B13" s="148" t="s">
        <v>6</v>
      </c>
      <c r="C13" s="72">
        <f>Fab[[#Totals],[Column7]]</f>
        <v>0</v>
      </c>
      <c r="D13" s="70">
        <f>Fab[[#Totals],[Column8]]</f>
        <v>0</v>
      </c>
      <c r="E13" s="70">
        <f>Fab[[#Totals],[Column9]]</f>
        <v>0</v>
      </c>
      <c r="F13" s="74">
        <f>IFERROR(D13/C13,0)</f>
        <v>0</v>
      </c>
      <c r="G13" s="167">
        <f>Fab[[#Totals],[Column10]]</f>
        <v>0</v>
      </c>
      <c r="H13" s="77">
        <f>Fab[[#Totals],[Column11]]</f>
        <v>0</v>
      </c>
      <c r="I13" s="77">
        <f>Fab[[#Totals],[Column12]]</f>
        <v>0</v>
      </c>
      <c r="J13" s="168">
        <f>IFERROR(H13/G13,0)</f>
        <v>0</v>
      </c>
      <c r="K13" s="168">
        <f>IFERROR(G13/C13,0)</f>
        <v>0</v>
      </c>
      <c r="L13" s="169">
        <f>Fab[[#Totals],[Column23]]</f>
        <v>0</v>
      </c>
      <c r="M13" s="170">
        <f>Fab[[#Totals],[Column27]]</f>
        <v>0</v>
      </c>
      <c r="N13" s="170">
        <f>Fab[[#Totals],[Column28]]</f>
        <v>0</v>
      </c>
      <c r="O13" s="74">
        <f>IFERROR(M13/L13,0)</f>
        <v>0</v>
      </c>
      <c r="P13" s="171">
        <f>Fab[[#Totals],[Column15]]</f>
        <v>0</v>
      </c>
      <c r="Q13" s="77">
        <f>Fab[[#Totals],[Column16]]</f>
        <v>0</v>
      </c>
      <c r="R13" s="77">
        <f>Fab[[#Totals],[Column17]]</f>
        <v>0</v>
      </c>
      <c r="S13" s="168">
        <f>IFERROR(Q13/P13,0)</f>
        <v>0</v>
      </c>
      <c r="T13" s="172">
        <f>Fab[[#Totals],[Column19]]</f>
        <v>0</v>
      </c>
      <c r="U13" s="173">
        <f>Fab[[#Totals],[Column20]]</f>
        <v>0</v>
      </c>
      <c r="V13" s="173">
        <f>Fab[[#Totals],[Column21]]</f>
        <v>0</v>
      </c>
      <c r="W13" s="174">
        <f>IFERROR(U13/T13,0)</f>
        <v>0</v>
      </c>
      <c r="X13" s="157">
        <f>Fab[[#Totals],[Column24]]</f>
        <v>0</v>
      </c>
      <c r="Y13" s="173">
        <f>Fab[[#Totals],[Column30]]</f>
        <v>0</v>
      </c>
      <c r="Z13" s="173">
        <f>Fab[[#Totals],[Column29]]</f>
        <v>0</v>
      </c>
      <c r="AA13" s="168">
        <f>IFERROR(Y13/X13,0)</f>
        <v>0</v>
      </c>
      <c r="AB13" s="175">
        <f>Fab[[#Totals],[Column26]]</f>
        <v>0</v>
      </c>
    </row>
    <row r="14" spans="1:28" x14ac:dyDescent="0.2">
      <c r="A14" s="147"/>
      <c r="C14" s="159"/>
      <c r="D14" s="160"/>
      <c r="E14" s="160"/>
      <c r="F14" s="159"/>
      <c r="G14" s="161"/>
      <c r="H14" s="1"/>
      <c r="I14" s="1"/>
      <c r="J14" s="162"/>
      <c r="K14" s="162"/>
      <c r="L14" s="159"/>
      <c r="M14" s="163"/>
      <c r="N14" s="163"/>
      <c r="O14" s="159"/>
      <c r="P14" s="164"/>
      <c r="Q14" s="1"/>
      <c r="R14" s="1"/>
      <c r="S14" s="162"/>
      <c r="T14" s="165"/>
      <c r="U14" s="165"/>
      <c r="V14" s="165"/>
      <c r="W14" s="159"/>
      <c r="X14" s="161"/>
      <c r="Y14" s="165"/>
      <c r="Z14" s="165"/>
      <c r="AA14" s="162"/>
      <c r="AB14" s="166"/>
    </row>
    <row r="15" spans="1:28" ht="18" collapsed="1" x14ac:dyDescent="0.2">
      <c r="A15" s="8">
        <v>3</v>
      </c>
      <c r="B15" s="148" t="s">
        <v>8</v>
      </c>
      <c r="C15" s="72">
        <f>Mat[[#Totals],[Column7]]</f>
        <v>0</v>
      </c>
      <c r="D15" s="70">
        <f>Mat[[#Totals],[Column8]]</f>
        <v>0</v>
      </c>
      <c r="E15" s="70">
        <f>Mat[[#Totals],[Column9]]</f>
        <v>0</v>
      </c>
      <c r="F15" s="74">
        <f>IFERROR(D15/C15,0)</f>
        <v>0</v>
      </c>
      <c r="G15" s="167">
        <f>Mat[[#Totals],[Column10]]</f>
        <v>0</v>
      </c>
      <c r="H15" s="77">
        <f>Mat[[#Totals],[Column11]]</f>
        <v>0</v>
      </c>
      <c r="I15" s="77">
        <f>Mat[[#Totals],[Column12]]</f>
        <v>0</v>
      </c>
      <c r="J15" s="168">
        <f>IFERROR(H15/G15,0)</f>
        <v>0</v>
      </c>
      <c r="K15" s="168">
        <f>IFERROR(G15/C15,0)</f>
        <v>0</v>
      </c>
      <c r="L15" s="169">
        <f>Mat[[#Totals],[Column23]]</f>
        <v>0</v>
      </c>
      <c r="M15" s="170">
        <f>Mat[[#Totals],[Column27]]</f>
        <v>0</v>
      </c>
      <c r="N15" s="170">
        <f>Mat[[#Totals],[Column28]]</f>
        <v>0</v>
      </c>
      <c r="O15" s="74">
        <f>IFERROR(M15/L15,0)</f>
        <v>0</v>
      </c>
      <c r="P15" s="167">
        <f>Mat[[#Totals],[Column15]]</f>
        <v>0</v>
      </c>
      <c r="Q15" s="77">
        <f>Mat[[#Totals],[Column16]]</f>
        <v>0</v>
      </c>
      <c r="R15" s="77">
        <f>Mat[[#Totals],[Column17]]</f>
        <v>0</v>
      </c>
      <c r="S15" s="168">
        <f>IFERROR(Q15/P15,0)</f>
        <v>0</v>
      </c>
      <c r="T15" s="172">
        <f>Mat[[#Totals],[Column19]]</f>
        <v>0</v>
      </c>
      <c r="U15" s="173">
        <f>Mat[[#Totals],[Column20]]</f>
        <v>0</v>
      </c>
      <c r="V15" s="173">
        <f>Mat[[#Totals],[Column21]]</f>
        <v>0</v>
      </c>
      <c r="W15" s="174">
        <f>IFERROR(U15/T15,0)</f>
        <v>0</v>
      </c>
      <c r="X15" s="176">
        <f>Mat[[#Totals],[Column24]]</f>
        <v>0</v>
      </c>
      <c r="Y15" s="173">
        <f>Mat[[#Totals],[Column30]]</f>
        <v>0</v>
      </c>
      <c r="Z15" s="173">
        <f>Mat[[#Totals],[Column29]]</f>
        <v>0</v>
      </c>
      <c r="AA15" s="168">
        <f>IFERROR(Y15/X15,0)</f>
        <v>0</v>
      </c>
      <c r="AB15" s="175">
        <f>Mat[[#Totals],[Column26]]</f>
        <v>0</v>
      </c>
    </row>
    <row r="16" spans="1:28" x14ac:dyDescent="0.2">
      <c r="A16" s="147"/>
      <c r="C16" s="159"/>
      <c r="D16" s="160"/>
      <c r="E16" s="160"/>
      <c r="F16" s="159"/>
      <c r="G16" s="161"/>
      <c r="H16" s="1"/>
      <c r="I16" s="1"/>
      <c r="J16" s="162"/>
      <c r="K16" s="162"/>
      <c r="L16" s="159"/>
      <c r="M16" s="163"/>
      <c r="N16" s="163"/>
      <c r="O16" s="159"/>
      <c r="P16" s="164"/>
      <c r="Q16" s="1"/>
      <c r="R16" s="1"/>
      <c r="S16" s="162"/>
      <c r="T16" s="165"/>
      <c r="U16" s="165"/>
      <c r="V16" s="165"/>
      <c r="W16" s="159"/>
      <c r="X16" s="161"/>
      <c r="Y16" s="165"/>
      <c r="Z16" s="165"/>
      <c r="AA16" s="162"/>
      <c r="AB16" s="166"/>
    </row>
    <row r="17" spans="1:28" ht="36" collapsed="1" x14ac:dyDescent="0.2">
      <c r="A17" s="8">
        <v>4</v>
      </c>
      <c r="B17" s="148" t="s">
        <v>10</v>
      </c>
      <c r="C17" s="72">
        <f>Well[[#Totals],[Column7]]</f>
        <v>0</v>
      </c>
      <c r="D17" s="70">
        <f>Well[[#Totals],[Column8]]</f>
        <v>0</v>
      </c>
      <c r="E17" s="70">
        <f>Well[[#Totals],[Column9]]</f>
        <v>0</v>
      </c>
      <c r="F17" s="74">
        <f>IFERROR(D17/C17,0)</f>
        <v>0</v>
      </c>
      <c r="G17" s="171">
        <f>Well[[#Totals],[Column10]]</f>
        <v>0</v>
      </c>
      <c r="H17" s="77">
        <f>Well[[#Totals],[Column11]]</f>
        <v>0</v>
      </c>
      <c r="I17" s="77">
        <f>Well[[#Totals],[Column12]]</f>
        <v>0</v>
      </c>
      <c r="J17" s="168">
        <f>IFERROR(H17/G17,0)</f>
        <v>0</v>
      </c>
      <c r="K17" s="168">
        <f>IFERROR(G17/C17,0)</f>
        <v>0</v>
      </c>
      <c r="L17" s="169">
        <f>Well[[#Totals],[Column23]]</f>
        <v>0</v>
      </c>
      <c r="M17" s="170">
        <f>Well[[#Totals],[Column27]]</f>
        <v>0</v>
      </c>
      <c r="N17" s="170">
        <f>Well[[#Totals],[Column28]]</f>
        <v>0</v>
      </c>
      <c r="O17" s="74">
        <f>IFERROR(M17/L17,0)</f>
        <v>0</v>
      </c>
      <c r="P17" s="171">
        <f>Well[[#Totals],[Column15]]</f>
        <v>0</v>
      </c>
      <c r="Q17" s="77">
        <f>Well[[#Totals],[Column16]]</f>
        <v>0</v>
      </c>
      <c r="R17" s="77">
        <f>Well[[#Totals],[Column17]]</f>
        <v>0</v>
      </c>
      <c r="S17" s="168">
        <f>IFERROR(Q17/P17,0)</f>
        <v>0</v>
      </c>
      <c r="T17" s="172">
        <f>Well[[#Totals],[Column19]]</f>
        <v>0</v>
      </c>
      <c r="U17" s="173">
        <f>Well[[#Totals],[Column20]]</f>
        <v>0</v>
      </c>
      <c r="V17" s="173">
        <f>Well[[#Totals],[Column21]]</f>
        <v>0</v>
      </c>
      <c r="W17" s="174">
        <f>IFERROR(U17/T17,0)</f>
        <v>0</v>
      </c>
      <c r="X17" s="177">
        <f>Well[[#Totals],[Column24]]</f>
        <v>0</v>
      </c>
      <c r="Y17" s="173">
        <f>Well[[#Totals],[Column30]]</f>
        <v>0</v>
      </c>
      <c r="Z17" s="173">
        <f>Well[[#Totals],[Column29]]</f>
        <v>0</v>
      </c>
      <c r="AA17" s="168">
        <f>IFERROR(Y17/X17,0)</f>
        <v>0</v>
      </c>
      <c r="AB17" s="175">
        <f>Well[[#Totals],[Column26]]</f>
        <v>0</v>
      </c>
    </row>
    <row r="18" spans="1:28" x14ac:dyDescent="0.2">
      <c r="A18" s="147"/>
      <c r="C18" s="159"/>
      <c r="D18" s="160"/>
      <c r="E18" s="160"/>
      <c r="F18" s="159"/>
      <c r="G18" s="161"/>
      <c r="H18" s="1"/>
      <c r="I18" s="1"/>
      <c r="J18" s="162"/>
      <c r="K18" s="162"/>
      <c r="L18" s="159"/>
      <c r="M18" s="163"/>
      <c r="N18" s="163"/>
      <c r="O18" s="159"/>
      <c r="P18" s="164"/>
      <c r="Q18" s="1"/>
      <c r="R18" s="1"/>
      <c r="S18" s="162"/>
      <c r="T18" s="165"/>
      <c r="U18" s="165"/>
      <c r="V18" s="165"/>
      <c r="W18" s="159"/>
      <c r="X18" s="161"/>
      <c r="Y18" s="165"/>
      <c r="Z18" s="165"/>
      <c r="AA18" s="162"/>
      <c r="AB18" s="178"/>
    </row>
    <row r="19" spans="1:28" ht="18" collapsed="1" x14ac:dyDescent="0.2">
      <c r="A19" s="8">
        <v>5</v>
      </c>
      <c r="B19" s="148" t="s">
        <v>12</v>
      </c>
      <c r="C19" s="72">
        <f>Res[[#Totals],[Column7]]</f>
        <v>0</v>
      </c>
      <c r="D19" s="70">
        <f>Res[[#Totals],[Column8]]</f>
        <v>0</v>
      </c>
      <c r="E19" s="70">
        <f>Res[[#Totals],[Column9]]</f>
        <v>0</v>
      </c>
      <c r="F19" s="74">
        <f>IFERROR(D19/C19,0)</f>
        <v>0</v>
      </c>
      <c r="G19" s="171">
        <f>Res[[#Totals],[Column10]]</f>
        <v>0</v>
      </c>
      <c r="H19" s="77">
        <f>Res[[#Totals],[Column11]]</f>
        <v>0</v>
      </c>
      <c r="I19" s="77">
        <f>Res[[#Totals],[Column12]]</f>
        <v>0</v>
      </c>
      <c r="J19" s="168">
        <f>IFERROR(H19/G19,0)</f>
        <v>0</v>
      </c>
      <c r="K19" s="168">
        <f>IFERROR(G19/C19,0)</f>
        <v>0</v>
      </c>
      <c r="L19" s="169">
        <f>Res[[#Totals],[Column23]]</f>
        <v>0</v>
      </c>
      <c r="M19" s="170">
        <f>Res[[#Totals],[Column27]]</f>
        <v>0</v>
      </c>
      <c r="N19" s="170">
        <f>Res[[#Totals],[Column28]]</f>
        <v>0</v>
      </c>
      <c r="O19" s="74">
        <f>IFERROR(M19/L19,0)</f>
        <v>0</v>
      </c>
      <c r="P19" s="171">
        <f>Res[[#Totals],[Column15]]</f>
        <v>0</v>
      </c>
      <c r="Q19" s="77">
        <f>Res[[#Totals],[Column16]]</f>
        <v>0</v>
      </c>
      <c r="R19" s="77">
        <f>Res[[#Totals],[Column17]]</f>
        <v>0</v>
      </c>
      <c r="S19" s="168">
        <f>IFERROR(Q19/P19,0)</f>
        <v>0</v>
      </c>
      <c r="T19" s="172">
        <f>Res[[#Totals],[Column19]]</f>
        <v>0</v>
      </c>
      <c r="U19" s="173">
        <f>Res[[#Totals],[Column20]]</f>
        <v>0</v>
      </c>
      <c r="V19" s="173">
        <f>Res[[#Totals],[Column21]]</f>
        <v>0</v>
      </c>
      <c r="W19" s="174">
        <f>IFERROR(U19/T19,0)</f>
        <v>0</v>
      </c>
      <c r="X19" s="177">
        <f>Res[[#Totals],[Column24]]</f>
        <v>0</v>
      </c>
      <c r="Y19" s="173">
        <f>Res[[#Totals],[Column30]]</f>
        <v>0</v>
      </c>
      <c r="Z19" s="173">
        <f>Res[[#Totals],[Column29]]</f>
        <v>0</v>
      </c>
      <c r="AA19" s="168">
        <f>Res[[#Totals],[Column25]]</f>
        <v>0</v>
      </c>
      <c r="AB19" s="175">
        <f>Res[[#Totals],[Column26]]</f>
        <v>0</v>
      </c>
    </row>
    <row r="20" spans="1:28" x14ac:dyDescent="0.2">
      <c r="A20" s="147"/>
      <c r="C20" s="159"/>
      <c r="D20" s="160"/>
      <c r="E20" s="160"/>
      <c r="F20" s="179"/>
      <c r="G20" s="161"/>
      <c r="H20" s="1"/>
      <c r="I20" s="1"/>
      <c r="J20" s="162"/>
      <c r="K20" s="162"/>
      <c r="L20" s="159"/>
      <c r="M20" s="163"/>
      <c r="N20" s="163"/>
      <c r="O20" s="159"/>
      <c r="P20" s="164"/>
      <c r="Q20" s="1"/>
      <c r="R20" s="1"/>
      <c r="S20" s="162"/>
      <c r="T20" s="165"/>
      <c r="U20" s="165"/>
      <c r="V20" s="165"/>
      <c r="W20" s="159"/>
      <c r="X20" s="161"/>
      <c r="Y20" s="165"/>
      <c r="Z20" s="165"/>
      <c r="AA20" s="162"/>
      <c r="AB20" s="166"/>
    </row>
    <row r="21" spans="1:28" ht="36" collapsed="1" x14ac:dyDescent="0.2">
      <c r="A21" s="8">
        <v>6</v>
      </c>
      <c r="B21" s="148" t="s">
        <v>14</v>
      </c>
      <c r="C21" s="72">
        <f>Exp[[#Totals],[Column7]]</f>
        <v>0</v>
      </c>
      <c r="D21" s="70">
        <f>Exp[[#Totals],[Column8]]</f>
        <v>0</v>
      </c>
      <c r="E21" s="70">
        <f>Exp[[#Totals],[Column9]]</f>
        <v>0</v>
      </c>
      <c r="F21" s="74">
        <f>IFERROR(D21/C21,0)</f>
        <v>0</v>
      </c>
      <c r="G21" s="171">
        <f>Exp[[#Totals],[Column10]]</f>
        <v>0</v>
      </c>
      <c r="H21" s="77">
        <f>Exp[[#Totals],[Column11]]</f>
        <v>0</v>
      </c>
      <c r="I21" s="77">
        <f>Exp[[#Totals],[Column12]]</f>
        <v>0</v>
      </c>
      <c r="J21" s="168">
        <f>IFERROR(H21/G21,0)</f>
        <v>0</v>
      </c>
      <c r="K21" s="168">
        <f>IFERROR(G21/C21,0)</f>
        <v>0</v>
      </c>
      <c r="L21" s="169">
        <f>Exp[[#Totals],[Column23]]</f>
        <v>0</v>
      </c>
      <c r="M21" s="170">
        <f>Exp[[#Totals],[Column27]]</f>
        <v>0</v>
      </c>
      <c r="N21" s="170">
        <f>Exp[[#Totals],[Column28]]</f>
        <v>0</v>
      </c>
      <c r="O21" s="74">
        <f>IFERROR(M21/L21,0)</f>
        <v>0</v>
      </c>
      <c r="P21" s="171">
        <f>Exp[[#Totals],[Column15]]</f>
        <v>0</v>
      </c>
      <c r="Q21" s="77">
        <f>Exp[[#Totals],[Column16]]</f>
        <v>0</v>
      </c>
      <c r="R21" s="77">
        <f>Exp[[#Totals],[Column17]]</f>
        <v>0</v>
      </c>
      <c r="S21" s="168">
        <f>IFERROR(Q21/P21,0)</f>
        <v>0</v>
      </c>
      <c r="T21" s="172">
        <f>Exp[[#Totals],[Column19]]</f>
        <v>0</v>
      </c>
      <c r="U21" s="173">
        <f>Exp[[#Totals],[Column20]]</f>
        <v>0</v>
      </c>
      <c r="V21" s="173">
        <f>Exp[[#Totals],[Column21]]</f>
        <v>0</v>
      </c>
      <c r="W21" s="174">
        <f>IFERROR(U21/T21,0)</f>
        <v>0</v>
      </c>
      <c r="X21" s="177">
        <f>Exp[[#Totals],[Column24]]</f>
        <v>0</v>
      </c>
      <c r="Y21" s="173">
        <f>Exp[[#Totals],[Column30]]</f>
        <v>0</v>
      </c>
      <c r="Z21" s="173">
        <f>Exp[[#Totals],[Column29]]</f>
        <v>0</v>
      </c>
      <c r="AA21" s="168">
        <f>IFERROR(Y21/X21,0)</f>
        <v>0</v>
      </c>
      <c r="AB21" s="175">
        <f>Exp[[#Totals],[Column26]]</f>
        <v>0</v>
      </c>
    </row>
    <row r="22" spans="1:28" x14ac:dyDescent="0.2">
      <c r="A22" s="147"/>
      <c r="C22" s="159"/>
      <c r="D22" s="160"/>
      <c r="E22" s="160"/>
      <c r="F22" s="159"/>
      <c r="G22" s="161"/>
      <c r="H22" s="1"/>
      <c r="I22" s="1"/>
      <c r="J22" s="162"/>
      <c r="K22" s="162"/>
      <c r="L22" s="159"/>
      <c r="M22" s="163"/>
      <c r="N22" s="163"/>
      <c r="O22" s="159"/>
      <c r="P22" s="164"/>
      <c r="Q22" s="1"/>
      <c r="R22" s="1"/>
      <c r="S22" s="162"/>
      <c r="T22" s="165"/>
      <c r="U22" s="165"/>
      <c r="V22" s="165"/>
      <c r="W22" s="159"/>
      <c r="X22" s="161"/>
      <c r="Y22" s="165"/>
      <c r="Z22" s="165"/>
      <c r="AA22" s="162"/>
      <c r="AB22" s="166"/>
    </row>
    <row r="23" spans="1:28" ht="36" collapsed="1" x14ac:dyDescent="0.2">
      <c r="A23" s="8">
        <v>7</v>
      </c>
      <c r="B23" s="148" t="s">
        <v>16</v>
      </c>
      <c r="C23" s="72">
        <f>Trans[[#Totals],[Column7]]</f>
        <v>0</v>
      </c>
      <c r="D23" s="70">
        <f>Trans[[#Totals],[Column8]]</f>
        <v>0</v>
      </c>
      <c r="E23" s="70">
        <f>Trans[[#Totals],[Column9]]</f>
        <v>0</v>
      </c>
      <c r="F23" s="74">
        <f>IFERROR(D23/C23,0)</f>
        <v>0</v>
      </c>
      <c r="G23" s="171">
        <f>Trans[[#Totals],[Column10]]</f>
        <v>0</v>
      </c>
      <c r="H23" s="77">
        <f>Trans[[#Totals],[Column11]]</f>
        <v>0</v>
      </c>
      <c r="I23" s="77">
        <f>Trans[[#Totals],[Column12]]</f>
        <v>0</v>
      </c>
      <c r="J23" s="168">
        <f>IFERROR(H23/G23,0)</f>
        <v>0</v>
      </c>
      <c r="K23" s="168">
        <f>IFERROR(G23/C23,0)</f>
        <v>0</v>
      </c>
      <c r="L23" s="169">
        <f>Trans[[#Totals],[Column23]]</f>
        <v>0</v>
      </c>
      <c r="M23" s="170">
        <f>Trans[[#Totals],[Column27]]</f>
        <v>0</v>
      </c>
      <c r="N23" s="170">
        <f>Trans[[#Totals],[Column28]]</f>
        <v>0</v>
      </c>
      <c r="O23" s="74">
        <f>IFERROR(M23/L23,0)</f>
        <v>0</v>
      </c>
      <c r="P23" s="171">
        <f>Trans[[#Totals],[Column15]]</f>
        <v>0</v>
      </c>
      <c r="Q23" s="77">
        <f>Trans[[#Totals],[Column16]]</f>
        <v>0</v>
      </c>
      <c r="R23" s="77">
        <f>Trans[[#Totals],[Column17]]</f>
        <v>0</v>
      </c>
      <c r="S23" s="168">
        <f>IFERROR(Q23/P23,0)</f>
        <v>0</v>
      </c>
      <c r="T23" s="172">
        <f>Trans[[#Totals],[Column19]]</f>
        <v>0</v>
      </c>
      <c r="U23" s="173">
        <f>Trans[[#Totals],[Column20]]</f>
        <v>0</v>
      </c>
      <c r="V23" s="173">
        <f>Trans[[#Totals],[Column21]]</f>
        <v>0</v>
      </c>
      <c r="W23" s="174">
        <f>IFERROR(U23/T23,0)</f>
        <v>0</v>
      </c>
      <c r="X23" s="177">
        <f>Trans[[#Totals],[Column24]]</f>
        <v>0</v>
      </c>
      <c r="Y23" s="173">
        <f>Trans[[#Totals],[Column30]]</f>
        <v>0</v>
      </c>
      <c r="Z23" s="173">
        <f>Trans[[#Totals],[Column29]]</f>
        <v>0</v>
      </c>
      <c r="AA23" s="168">
        <f>IFERROR(Y23/X23,0)</f>
        <v>0</v>
      </c>
      <c r="AB23" s="175">
        <f>Trans[[#Totals],[Column26]]</f>
        <v>0</v>
      </c>
    </row>
    <row r="24" spans="1:28" x14ac:dyDescent="0.2">
      <c r="A24" s="147"/>
      <c r="C24" s="159"/>
      <c r="D24" s="160"/>
      <c r="E24" s="160"/>
      <c r="F24" s="159"/>
      <c r="G24" s="161"/>
      <c r="H24" s="1"/>
      <c r="I24" s="1"/>
      <c r="J24" s="162"/>
      <c r="K24" s="162"/>
      <c r="L24" s="159"/>
      <c r="M24" s="163"/>
      <c r="N24" s="163"/>
      <c r="O24" s="159"/>
      <c r="P24" s="164"/>
      <c r="Q24" s="1"/>
      <c r="R24" s="1"/>
      <c r="S24" s="162"/>
      <c r="T24" s="165"/>
      <c r="U24" s="165"/>
      <c r="V24" s="165"/>
      <c r="W24" s="159"/>
      <c r="X24" s="161"/>
      <c r="Y24" s="165"/>
      <c r="Z24" s="165"/>
      <c r="AA24" s="162"/>
      <c r="AB24" s="166"/>
    </row>
    <row r="25" spans="1:28" ht="18" collapsed="1" x14ac:dyDescent="0.2">
      <c r="A25" s="8">
        <v>8</v>
      </c>
      <c r="B25" s="148" t="s">
        <v>18</v>
      </c>
      <c r="C25" s="72">
        <f>Health[[#Totals],[Column7]]</f>
        <v>0</v>
      </c>
      <c r="D25" s="70">
        <f>Health[[#Totals],[Column8]]</f>
        <v>0</v>
      </c>
      <c r="E25" s="70">
        <f>Health[[#Totals],[Column9]]</f>
        <v>0</v>
      </c>
      <c r="F25" s="74">
        <f>IFERROR(D25/C25,0)</f>
        <v>0</v>
      </c>
      <c r="G25" s="171">
        <f>Health[[#Totals],[Column10]]</f>
        <v>0</v>
      </c>
      <c r="H25" s="77">
        <f>Health[[#Totals],[Column11]]</f>
        <v>0</v>
      </c>
      <c r="I25" s="77">
        <f>Health[[#Totals],[Column12]]</f>
        <v>0</v>
      </c>
      <c r="J25" s="168">
        <f>IFERROR(H25/G25,0)</f>
        <v>0</v>
      </c>
      <c r="K25" s="168">
        <f>IFERROR(G25/C25,0)</f>
        <v>0</v>
      </c>
      <c r="L25" s="169">
        <f>Health[[#Totals],[Column7]]</f>
        <v>0</v>
      </c>
      <c r="M25" s="170">
        <f>Health[[#Totals],[Column27]]</f>
        <v>0</v>
      </c>
      <c r="N25" s="170">
        <f>Health[[#Totals],[Column28]]</f>
        <v>0</v>
      </c>
      <c r="O25" s="74">
        <f>IFERROR(M25/L25,0)</f>
        <v>0</v>
      </c>
      <c r="P25" s="171">
        <f>Health[[#Totals],[Column15]]</f>
        <v>0</v>
      </c>
      <c r="Q25" s="77">
        <f>Health[[#Totals],[Column16]]</f>
        <v>0</v>
      </c>
      <c r="R25" s="77">
        <f>Health[[#Totals],[Column17]]</f>
        <v>0</v>
      </c>
      <c r="S25" s="168">
        <f>IFERROR(Q25/P25,0)</f>
        <v>0</v>
      </c>
      <c r="T25" s="172">
        <f>Health[[#Totals],[Column19]]</f>
        <v>0</v>
      </c>
      <c r="U25" s="173">
        <f>Health[[#Totals],[Column20]]</f>
        <v>0</v>
      </c>
      <c r="V25" s="173">
        <f>Health[[#Totals],[Column21]]</f>
        <v>0</v>
      </c>
      <c r="W25" s="174">
        <f>IFERROR(U25/T25,0)</f>
        <v>0</v>
      </c>
      <c r="X25" s="177">
        <f>Health[[#Totals],[Column24]]</f>
        <v>0</v>
      </c>
      <c r="Y25" s="173">
        <f>Health[[#Totals],[Column30]]</f>
        <v>0</v>
      </c>
      <c r="Z25" s="173">
        <f>Health[[#Totals],[Column29]]</f>
        <v>0</v>
      </c>
      <c r="AA25" s="168">
        <f>IFERROR(Y25/X25,0)</f>
        <v>0</v>
      </c>
      <c r="AB25" s="175">
        <f>Health[[#Totals],[Column26]]</f>
        <v>0</v>
      </c>
    </row>
    <row r="26" spans="1:28" x14ac:dyDescent="0.2">
      <c r="A26" s="147"/>
      <c r="C26" s="159"/>
      <c r="D26" s="160"/>
      <c r="E26" s="160"/>
      <c r="F26" s="159"/>
      <c r="G26" s="161"/>
      <c r="H26" s="1"/>
      <c r="I26" s="1"/>
      <c r="J26" s="162"/>
      <c r="K26" s="162"/>
      <c r="L26" s="159"/>
      <c r="M26" s="163"/>
      <c r="N26" s="163"/>
      <c r="O26" s="159"/>
      <c r="P26" s="164"/>
      <c r="Q26" s="1"/>
      <c r="R26" s="1"/>
      <c r="S26" s="162"/>
      <c r="T26" s="165"/>
      <c r="U26" s="165"/>
      <c r="V26" s="165"/>
      <c r="W26" s="159"/>
      <c r="X26" s="161"/>
      <c r="Y26" s="165"/>
      <c r="Z26" s="165"/>
      <c r="AA26" s="162"/>
      <c r="AB26" s="166"/>
    </row>
    <row r="27" spans="1:28" ht="36" collapsed="1" x14ac:dyDescent="0.2">
      <c r="A27" s="8">
        <v>9</v>
      </c>
      <c r="B27" s="148" t="s">
        <v>20</v>
      </c>
      <c r="C27" s="72">
        <f>Info[[#Totals],[Column7]]</f>
        <v>0</v>
      </c>
      <c r="D27" s="70">
        <f>Info[[#Totals],[Column8]]</f>
        <v>0</v>
      </c>
      <c r="E27" s="70">
        <f>Info[[#Totals],[Column9]]</f>
        <v>0</v>
      </c>
      <c r="F27" s="74">
        <f>IFERROR(D27/C27,0)</f>
        <v>0</v>
      </c>
      <c r="G27" s="171">
        <f>Info[[#Totals],[Column10]]</f>
        <v>0</v>
      </c>
      <c r="H27" s="77">
        <f>Info[[#Totals],[Column11]]</f>
        <v>0</v>
      </c>
      <c r="I27" s="77">
        <f>Info[[#Totals],[Column12]]</f>
        <v>0</v>
      </c>
      <c r="J27" s="168">
        <f>IFERROR(H27/G27,0)</f>
        <v>0</v>
      </c>
      <c r="K27" s="168">
        <f>IFERROR(G27/C27,0)</f>
        <v>0</v>
      </c>
      <c r="L27" s="169">
        <f>Info[[#Totals],[Column23]]</f>
        <v>0</v>
      </c>
      <c r="M27" s="170">
        <f>Info[[#Totals],[Column27]]</f>
        <v>0</v>
      </c>
      <c r="N27" s="170">
        <f>Info[[#Totals],[Column28]]</f>
        <v>0</v>
      </c>
      <c r="O27" s="74">
        <f>IFERROR(M27/L27,0)</f>
        <v>0</v>
      </c>
      <c r="P27" s="171">
        <f>Info[[#Totals],[Column15]]</f>
        <v>0</v>
      </c>
      <c r="Q27" s="77">
        <f>Info[[#Totals],[Column16]]</f>
        <v>0</v>
      </c>
      <c r="R27" s="77">
        <f>Info[[#Totals],[Column17]]</f>
        <v>0</v>
      </c>
      <c r="S27" s="168">
        <f>IFERROR(Q27/P27,0)</f>
        <v>0</v>
      </c>
      <c r="T27" s="172">
        <f>Info[[#Totals],[Column19]]</f>
        <v>0</v>
      </c>
      <c r="U27" s="173">
        <f>Info[[#Totals],[Column20]]</f>
        <v>0</v>
      </c>
      <c r="V27" s="173">
        <f>Info[[#Totals],[Column21]]</f>
        <v>0</v>
      </c>
      <c r="W27" s="174">
        <f>IFERROR(U27/T27,0)</f>
        <v>0</v>
      </c>
      <c r="X27" s="177">
        <f>Info[[#Totals],[Column24]]</f>
        <v>0</v>
      </c>
      <c r="Y27" s="173">
        <f>Info[[#Totals],[Column30]]</f>
        <v>0</v>
      </c>
      <c r="Z27" s="173">
        <f>Info[[#Totals],[Column29]]</f>
        <v>0</v>
      </c>
      <c r="AA27" s="168">
        <f>Info[[#Totals],[Column25]]</f>
        <v>0</v>
      </c>
      <c r="AB27" s="175">
        <f>Info[[#Totals],[Column26]]</f>
        <v>0</v>
      </c>
    </row>
    <row r="28" spans="1:28" x14ac:dyDescent="0.2">
      <c r="A28" s="147"/>
      <c r="C28" s="159"/>
      <c r="D28" s="160"/>
      <c r="E28" s="160"/>
      <c r="F28" s="159"/>
      <c r="G28" s="161"/>
      <c r="H28" s="1"/>
      <c r="I28" s="1"/>
      <c r="J28" s="162"/>
      <c r="K28" s="162"/>
      <c r="L28" s="159"/>
      <c r="M28" s="163"/>
      <c r="N28" s="163"/>
      <c r="O28" s="159"/>
      <c r="P28" s="164"/>
      <c r="Q28" s="1"/>
      <c r="R28" s="1"/>
      <c r="S28" s="162"/>
      <c r="T28" s="165"/>
      <c r="U28" s="165"/>
      <c r="V28" s="165"/>
      <c r="W28" s="159"/>
      <c r="X28" s="161"/>
      <c r="Y28" s="165"/>
      <c r="Z28" s="165"/>
      <c r="AA28" s="162"/>
      <c r="AB28" s="166"/>
    </row>
    <row r="29" spans="1:28" ht="18" collapsed="1" x14ac:dyDescent="0.2">
      <c r="A29" s="8">
        <v>10</v>
      </c>
      <c r="B29" s="148" t="s">
        <v>22</v>
      </c>
      <c r="C29" s="72">
        <f>Mar[[#Totals],[Column7]]</f>
        <v>0</v>
      </c>
      <c r="D29" s="70">
        <f>Mar[[#Totals],[Column8]]</f>
        <v>0</v>
      </c>
      <c r="E29" s="70">
        <f>Mar[[#Totals],[Column9]]</f>
        <v>0</v>
      </c>
      <c r="F29" s="74">
        <f>IFERROR(D29/C29,0)</f>
        <v>0</v>
      </c>
      <c r="G29" s="171">
        <f>Mar[[#Totals],[Column10]]</f>
        <v>0</v>
      </c>
      <c r="H29" s="77">
        <f>Mar[[#Totals],[Column11]]</f>
        <v>0</v>
      </c>
      <c r="I29" s="77">
        <f>Mar[[#Totals],[Column12]]</f>
        <v>0</v>
      </c>
      <c r="J29" s="168">
        <f>IFERROR(H29/G29,0)</f>
        <v>0</v>
      </c>
      <c r="K29" s="168">
        <f>IFERROR(G29/C29,0)</f>
        <v>0</v>
      </c>
      <c r="L29" s="169">
        <f>Mar[[#Totals],[Column23]]</f>
        <v>0</v>
      </c>
      <c r="M29" s="170">
        <f>Mar[[#Totals],[Column27]]</f>
        <v>0</v>
      </c>
      <c r="N29" s="170">
        <f>Mar[[#Totals],[Column28]]</f>
        <v>0</v>
      </c>
      <c r="O29" s="74">
        <f>IFERROR(M29/L29,0)</f>
        <v>0</v>
      </c>
      <c r="P29" s="171">
        <f>Mar[[#Totals],[Column15]]</f>
        <v>0</v>
      </c>
      <c r="Q29" s="77">
        <f>Mar[[#Totals],[Column16]]</f>
        <v>0</v>
      </c>
      <c r="R29" s="77">
        <f>Mar[[#Totals],[Column17]]</f>
        <v>0</v>
      </c>
      <c r="S29" s="168">
        <f>IFERROR(Q29/P29,0)</f>
        <v>0</v>
      </c>
      <c r="T29" s="172">
        <f>Mar[[#Totals],[Column19]]</f>
        <v>0</v>
      </c>
      <c r="U29" s="173">
        <f>Mar[[#Totals],[Column20]]</f>
        <v>0</v>
      </c>
      <c r="V29" s="173">
        <f>Mar[[#Totals],[Column21]]</f>
        <v>0</v>
      </c>
      <c r="W29" s="174">
        <f>IFERROR(U29/T29,0)</f>
        <v>0</v>
      </c>
      <c r="X29" s="177">
        <f>Mar[[#Totals],[Column24]]</f>
        <v>0</v>
      </c>
      <c r="Y29" s="173">
        <f>Mar[[#Totals],[Column30]]</f>
        <v>0</v>
      </c>
      <c r="Z29" s="173">
        <f>Mar[[#Totals],[Column29]]</f>
        <v>0</v>
      </c>
      <c r="AA29" s="168">
        <f>IFERROR(Y29/X29,0)</f>
        <v>0</v>
      </c>
      <c r="AB29" s="175">
        <f>Mar[[#Totals],[Column26]]</f>
        <v>0</v>
      </c>
    </row>
    <row r="30" spans="1:28" x14ac:dyDescent="0.2">
      <c r="A30" s="147"/>
      <c r="C30" s="159"/>
      <c r="D30" s="160"/>
      <c r="E30" s="160"/>
      <c r="F30" s="159"/>
      <c r="G30" s="161"/>
      <c r="H30" s="1"/>
      <c r="I30" s="1"/>
      <c r="J30" s="162"/>
      <c r="K30" s="162"/>
      <c r="L30" s="159"/>
      <c r="M30" s="163"/>
      <c r="N30" s="163"/>
      <c r="O30" s="159"/>
      <c r="P30" s="164"/>
      <c r="Q30" s="1"/>
      <c r="R30" s="1"/>
      <c r="S30" s="162"/>
      <c r="T30" s="165"/>
      <c r="U30" s="165"/>
      <c r="V30" s="165"/>
      <c r="W30" s="159"/>
      <c r="X30" s="161"/>
      <c r="Y30" s="165"/>
      <c r="Z30" s="165"/>
      <c r="AA30" s="162"/>
      <c r="AB30" s="166"/>
    </row>
    <row r="31" spans="1:28" ht="18" collapsed="1" x14ac:dyDescent="0.2">
      <c r="A31" s="8">
        <v>11</v>
      </c>
      <c r="B31" s="148" t="s">
        <v>24</v>
      </c>
      <c r="C31" s="72">
        <f>Fin[[#Totals],[Column7]]</f>
        <v>0</v>
      </c>
      <c r="D31" s="70">
        <f>Fin[[#Totals],[Column8]]</f>
        <v>0</v>
      </c>
      <c r="E31" s="70">
        <f>Fin[[#Totals],[Column9]]</f>
        <v>0</v>
      </c>
      <c r="F31" s="74">
        <f>IFERROR(D31/C31,0)</f>
        <v>0</v>
      </c>
      <c r="G31" s="171">
        <f>Fin[[#Totals],[Column10]]</f>
        <v>0</v>
      </c>
      <c r="H31" s="77">
        <f>Fin[[#Totals],[Column11]]</f>
        <v>0</v>
      </c>
      <c r="I31" s="77">
        <f>Fin[[#Totals],[Column12]]</f>
        <v>0</v>
      </c>
      <c r="J31" s="168">
        <f>IFERROR(H31/G31,0)</f>
        <v>0</v>
      </c>
      <c r="K31" s="168">
        <f>IFERROR(G31/C31,0)</f>
        <v>0</v>
      </c>
      <c r="L31" s="169">
        <f>Fin[[#Totals],[Column23]]</f>
        <v>0</v>
      </c>
      <c r="M31" s="170">
        <f>Fin[[#Totals],[Column27]]</f>
        <v>0</v>
      </c>
      <c r="N31" s="170">
        <f>Fin[[#Totals],[Column28]]</f>
        <v>0</v>
      </c>
      <c r="O31" s="74">
        <f>IFERROR(M31/L31,0)</f>
        <v>0</v>
      </c>
      <c r="P31" s="171">
        <f>Fin[[#Totals],[Column15]]</f>
        <v>0</v>
      </c>
      <c r="Q31" s="77">
        <f>Fin[[#Totals],[Column16]]</f>
        <v>0</v>
      </c>
      <c r="R31" s="77">
        <f>Fin[[#Totals],[Column17]]</f>
        <v>0</v>
      </c>
      <c r="S31" s="168">
        <f>IFERROR(Q31/P31,0)</f>
        <v>0</v>
      </c>
      <c r="T31" s="172">
        <f>Fin[[#Totals],[Column19]]</f>
        <v>0</v>
      </c>
      <c r="U31" s="173">
        <f>Fin[[#Totals],[Column20]]</f>
        <v>0</v>
      </c>
      <c r="V31" s="173">
        <f>Fin[[#Totals],[Column21]]</f>
        <v>0</v>
      </c>
      <c r="W31" s="174">
        <f>IFERROR(U31/T31,0)</f>
        <v>0</v>
      </c>
      <c r="X31" s="177">
        <f>Fin[[#Totals],[Column24]]</f>
        <v>0</v>
      </c>
      <c r="Y31" s="173">
        <f>Fin[[#Totals],[Column30]]</f>
        <v>0</v>
      </c>
      <c r="Z31" s="173">
        <f>Fin[[#Totals],[Column29]]</f>
        <v>0</v>
      </c>
      <c r="AA31" s="168">
        <f>IFERROR(Y31/X31,0)</f>
        <v>0</v>
      </c>
      <c r="AB31" s="175">
        <f>Fin[[#Totals],[Column26]]</f>
        <v>0</v>
      </c>
    </row>
    <row r="32" spans="1:28" x14ac:dyDescent="0.2">
      <c r="A32" s="147"/>
      <c r="C32" s="159"/>
      <c r="D32" s="160"/>
      <c r="E32" s="160"/>
      <c r="F32" s="159"/>
      <c r="G32" s="161"/>
      <c r="H32" s="1"/>
      <c r="I32" s="1"/>
      <c r="J32" s="162"/>
      <c r="K32" s="162"/>
      <c r="L32" s="159"/>
      <c r="M32" s="163"/>
      <c r="N32" s="163"/>
      <c r="O32" s="159"/>
      <c r="P32" s="164"/>
      <c r="Q32" s="1"/>
      <c r="R32" s="1"/>
      <c r="S32" s="162"/>
      <c r="T32" s="165"/>
      <c r="U32" s="165"/>
      <c r="V32" s="165"/>
      <c r="W32" s="159"/>
      <c r="X32" s="161"/>
      <c r="Y32" s="165"/>
      <c r="Z32" s="165"/>
      <c r="AA32" s="162"/>
      <c r="AB32" s="166"/>
    </row>
    <row r="33" spans="1:28" ht="18" collapsed="1" x14ac:dyDescent="0.2">
      <c r="A33" s="8">
        <v>12</v>
      </c>
      <c r="B33" s="148" t="s">
        <v>26</v>
      </c>
      <c r="C33" s="72">
        <f>Inst[[#Totals],[Column7]]</f>
        <v>0</v>
      </c>
      <c r="D33" s="70">
        <f>Inst[[#Totals],[Column8]]</f>
        <v>0</v>
      </c>
      <c r="E33" s="70">
        <f>Inst[[#Totals],[Column9]]</f>
        <v>0</v>
      </c>
      <c r="F33" s="74">
        <f>IFERROR(D33/C33,0)</f>
        <v>0</v>
      </c>
      <c r="G33" s="171">
        <f>Inst[[#Totals],[Column10]]</f>
        <v>0</v>
      </c>
      <c r="H33" s="77">
        <f>Inst[[#Totals],[Column11]]</f>
        <v>0</v>
      </c>
      <c r="I33" s="77">
        <f>Inst[[#Totals],[Column12]]</f>
        <v>0</v>
      </c>
      <c r="J33" s="168">
        <f>IFERROR(H33/G33,0)</f>
        <v>0</v>
      </c>
      <c r="K33" s="168">
        <f>IFERROR(G33/C33,0)</f>
        <v>0</v>
      </c>
      <c r="L33" s="169">
        <f>Inst[[#Totals],[Column23]]</f>
        <v>0</v>
      </c>
      <c r="M33" s="170">
        <f>Inst[[#Totals],[Column27]]</f>
        <v>0</v>
      </c>
      <c r="N33" s="170">
        <f>Inst[[#Totals],[Column28]]</f>
        <v>0</v>
      </c>
      <c r="O33" s="74">
        <f>IFERROR(M33/L33,0)</f>
        <v>0</v>
      </c>
      <c r="P33" s="171">
        <f>Inst[[#Totals],[Column15]]</f>
        <v>0</v>
      </c>
      <c r="Q33" s="77">
        <f>Inst[[#Totals],[Column16]]</f>
        <v>0</v>
      </c>
      <c r="R33" s="77">
        <f>Inst[[#Totals],[Column17]]</f>
        <v>0</v>
      </c>
      <c r="S33" s="168">
        <f>IFERROR(Q33/P33,0)</f>
        <v>0</v>
      </c>
      <c r="T33" s="172">
        <f>Inst[[#Totals],[Column19]]</f>
        <v>0</v>
      </c>
      <c r="U33" s="173">
        <f>Inst[[#Totals],[Column20]]</f>
        <v>0</v>
      </c>
      <c r="V33" s="173">
        <f>Inst[[#Totals],[Column29]]</f>
        <v>0</v>
      </c>
      <c r="W33" s="174">
        <f>IFERROR(U33/T33,0)</f>
        <v>0</v>
      </c>
      <c r="X33" s="177">
        <f>Inst[[#Totals],[Column24]]</f>
        <v>0</v>
      </c>
      <c r="Y33" s="173">
        <f>Inst[[#Totals],[Column30]]</f>
        <v>0</v>
      </c>
      <c r="Z33" s="173">
        <f>Inst[[#Totals],[Column29]]</f>
        <v>0</v>
      </c>
      <c r="AA33" s="168">
        <f>IFERROR(Y33/X33,0)</f>
        <v>0</v>
      </c>
      <c r="AB33" s="175">
        <f>Inst[[#Totals],[Column26]]</f>
        <v>0</v>
      </c>
    </row>
    <row r="34" spans="1:28" x14ac:dyDescent="0.2">
      <c r="A34" s="147"/>
      <c r="C34" s="159"/>
      <c r="D34" s="160"/>
      <c r="E34" s="160"/>
      <c r="F34" s="159"/>
      <c r="G34" s="161"/>
      <c r="H34" s="1"/>
      <c r="I34" s="1"/>
      <c r="J34" s="162"/>
      <c r="K34" s="162"/>
      <c r="L34" s="159"/>
      <c r="M34" s="163"/>
      <c r="N34" s="163"/>
      <c r="O34" s="159"/>
      <c r="P34" s="164"/>
      <c r="Q34" s="1"/>
      <c r="R34" s="1"/>
      <c r="S34" s="162"/>
      <c r="T34" s="165"/>
      <c r="U34" s="165"/>
      <c r="V34" s="165"/>
      <c r="W34" s="159"/>
      <c r="X34" s="161"/>
      <c r="Y34" s="165"/>
      <c r="Z34" s="165"/>
      <c r="AA34" s="162"/>
      <c r="AB34" s="166"/>
    </row>
    <row r="35" spans="1:28" ht="18" collapsed="1" x14ac:dyDescent="0.2">
      <c r="A35" s="8">
        <v>13</v>
      </c>
      <c r="B35" s="148" t="s">
        <v>28</v>
      </c>
      <c r="C35" s="72">
        <f>Insp[[#Totals],[Column7]]</f>
        <v>0</v>
      </c>
      <c r="D35" s="70">
        <f>Insp[[#Totals],[Column8]]</f>
        <v>0</v>
      </c>
      <c r="E35" s="70">
        <f>Insp[[#Totals],[Column9]]</f>
        <v>0</v>
      </c>
      <c r="F35" s="74">
        <f>IFERROR(D35/C35,0)</f>
        <v>0</v>
      </c>
      <c r="G35" s="171">
        <f>Insp[[#Totals],[Column10]]</f>
        <v>0</v>
      </c>
      <c r="H35" s="77">
        <f>Insp[[#Totals],[Column11]]</f>
        <v>0</v>
      </c>
      <c r="I35" s="77">
        <f>Insp[[#Totals],[Column12]]</f>
        <v>0</v>
      </c>
      <c r="J35" s="168">
        <f>IFERROR(H35/G35,0)</f>
        <v>0</v>
      </c>
      <c r="K35" s="168">
        <f>IFERROR(G35/C35,0)</f>
        <v>0</v>
      </c>
      <c r="L35" s="169">
        <f>Insp[[#Totals],[Column23]]</f>
        <v>0</v>
      </c>
      <c r="M35" s="170">
        <f>Insp[[#Totals],[Column27]]</f>
        <v>0</v>
      </c>
      <c r="N35" s="170">
        <f>Insp[[#Totals],[Column28]]</f>
        <v>0</v>
      </c>
      <c r="O35" s="74">
        <f>IFERROR(M35/L35,0)</f>
        <v>0</v>
      </c>
      <c r="P35" s="171">
        <f>Insp[[#Totals],[Column15]]</f>
        <v>0</v>
      </c>
      <c r="Q35" s="77">
        <f>Insp[[#Totals],[Column16]]</f>
        <v>0</v>
      </c>
      <c r="R35" s="77">
        <f>Insp[[#Totals],[Column17]]</f>
        <v>0</v>
      </c>
      <c r="S35" s="168">
        <f>IFERROR(Q35/P35,0)</f>
        <v>0</v>
      </c>
      <c r="T35" s="172">
        <f>Insp[[#Totals],[Column19]]</f>
        <v>0</v>
      </c>
      <c r="U35" s="173">
        <f>Insp[[#Totals],[Column20]]</f>
        <v>0</v>
      </c>
      <c r="V35" s="173">
        <f>Insp[[#Totals],[Column21]]</f>
        <v>0</v>
      </c>
      <c r="W35" s="174">
        <f>IFERROR(U35/T35,0)</f>
        <v>0</v>
      </c>
      <c r="X35" s="177">
        <f>Insp[[#Totals],[Column24]]</f>
        <v>0</v>
      </c>
      <c r="Y35" s="173">
        <f>Insp[[#Totals],[Column30]]</f>
        <v>0</v>
      </c>
      <c r="Z35" s="173">
        <f>Insp[[#Totals],[Column29]]</f>
        <v>0</v>
      </c>
      <c r="AA35" s="168">
        <f>IFERROR(Y35/X35,0)</f>
        <v>0</v>
      </c>
      <c r="AB35" s="175">
        <f>Insp[[#Totals],[Column26]]</f>
        <v>0</v>
      </c>
    </row>
    <row r="36" spans="1:28" x14ac:dyDescent="0.2">
      <c r="A36" s="147"/>
      <c r="C36" s="159"/>
      <c r="D36" s="160"/>
      <c r="E36" s="160"/>
      <c r="F36" s="159"/>
      <c r="G36" s="161"/>
      <c r="H36" s="1"/>
      <c r="I36" s="1"/>
      <c r="J36" s="162"/>
      <c r="K36" s="162"/>
      <c r="L36" s="159"/>
      <c r="M36" s="163"/>
      <c r="N36" s="163"/>
      <c r="O36" s="179"/>
      <c r="P36" s="164"/>
      <c r="Q36" s="1"/>
      <c r="R36" s="1"/>
      <c r="S36" s="162"/>
      <c r="T36" s="165"/>
      <c r="U36" s="165"/>
      <c r="V36" s="165"/>
      <c r="W36" s="159"/>
      <c r="X36" s="161"/>
      <c r="Y36" s="165"/>
      <c r="Z36" s="165"/>
      <c r="AA36" s="162"/>
      <c r="AB36" s="166"/>
    </row>
    <row r="37" spans="1:28" ht="36" collapsed="1" x14ac:dyDescent="0.2">
      <c r="A37" s="8">
        <v>14</v>
      </c>
      <c r="B37" s="148" t="s">
        <v>30</v>
      </c>
      <c r="C37" s="72">
        <f>Proj[[#Totals],[Column7]]</f>
        <v>0</v>
      </c>
      <c r="D37" s="70">
        <f>Proj[[#Totals],[Column8]]</f>
        <v>0</v>
      </c>
      <c r="E37" s="70">
        <f>Proj[[#Totals],[Column9]]</f>
        <v>0</v>
      </c>
      <c r="F37" s="74">
        <f>IFERROR(D37/C37,0)</f>
        <v>0</v>
      </c>
      <c r="G37" s="171">
        <f>Proj[[#Totals],[Column10]]</f>
        <v>0</v>
      </c>
      <c r="H37" s="77">
        <f>Proj[[#Totals],[Column11]]</f>
        <v>0</v>
      </c>
      <c r="I37" s="77">
        <f>Proj[[#Totals],[Column12]]</f>
        <v>0</v>
      </c>
      <c r="J37" s="168">
        <f>IFERROR(H37/G37,0)</f>
        <v>0</v>
      </c>
      <c r="K37" s="168">
        <f>IFERROR(G37/C37,0)</f>
        <v>0</v>
      </c>
      <c r="L37" s="169">
        <f>Proj[[#Totals],[Column23]]</f>
        <v>0</v>
      </c>
      <c r="M37" s="170">
        <f>Proj[[#Totals],[Column27]]</f>
        <v>0</v>
      </c>
      <c r="N37" s="170">
        <f>Proj[[#Totals],[Column28]]</f>
        <v>0</v>
      </c>
      <c r="O37" s="74">
        <f>IFERROR(M37/L37,0)</f>
        <v>0</v>
      </c>
      <c r="P37" s="171">
        <f>Proj[[#Totals],[Column15]]</f>
        <v>0</v>
      </c>
      <c r="Q37" s="77">
        <f>Proj[[#Totals],[Column16]]</f>
        <v>0</v>
      </c>
      <c r="R37" s="77">
        <f>Proj[[#Totals],[Column17]]</f>
        <v>0</v>
      </c>
      <c r="S37" s="168">
        <f>IFERROR(Q37/P37,0)</f>
        <v>0</v>
      </c>
      <c r="T37" s="172">
        <f>Proj[[#Totals],[Column19]]</f>
        <v>0</v>
      </c>
      <c r="U37" s="173">
        <f>Proj[[#Totals],[Column20]]</f>
        <v>0</v>
      </c>
      <c r="V37" s="173">
        <f>Proj[[#Totals],[Column21]]</f>
        <v>0</v>
      </c>
      <c r="W37" s="174">
        <f>IFERROR(U37/T37,0)</f>
        <v>0</v>
      </c>
      <c r="X37" s="177">
        <f>Proj[[#Totals],[Column24]]</f>
        <v>0</v>
      </c>
      <c r="Y37" s="173">
        <f>Proj[[#Totals],[Column30]]</f>
        <v>0</v>
      </c>
      <c r="Z37" s="173">
        <f>Proj[[#Totals],[Column29]]</f>
        <v>0</v>
      </c>
      <c r="AA37" s="168">
        <f>IFERROR(Y37/X37,0)</f>
        <v>0</v>
      </c>
      <c r="AB37" s="175">
        <f>Proj[[#Totals],[Column26]]</f>
        <v>0</v>
      </c>
    </row>
    <row r="38" spans="1:28" x14ac:dyDescent="0.2">
      <c r="A38" s="147"/>
      <c r="C38" s="159"/>
      <c r="D38" s="160"/>
      <c r="E38" s="160"/>
      <c r="F38" s="159"/>
      <c r="G38" s="161"/>
      <c r="H38" s="1"/>
      <c r="I38" s="1"/>
      <c r="J38" s="162"/>
      <c r="K38" s="162"/>
      <c r="L38" s="159"/>
      <c r="M38" s="163"/>
      <c r="N38" s="163"/>
      <c r="O38" s="179"/>
      <c r="P38" s="164"/>
      <c r="Q38" s="1"/>
      <c r="R38" s="1"/>
      <c r="S38" s="162"/>
      <c r="T38" s="165"/>
      <c r="U38" s="165"/>
      <c r="V38" s="165"/>
      <c r="W38" s="159"/>
      <c r="X38" s="161"/>
      <c r="Y38" s="165"/>
      <c r="Z38" s="165"/>
      <c r="AA38" s="162"/>
      <c r="AB38" s="166"/>
    </row>
    <row r="39" spans="1:28" ht="18" collapsed="1" x14ac:dyDescent="0.2">
      <c r="A39" s="8">
        <v>15</v>
      </c>
      <c r="B39" s="148" t="s">
        <v>32</v>
      </c>
      <c r="C39" s="72">
        <f>Surv[[#Totals],[Column7]]</f>
        <v>0</v>
      </c>
      <c r="D39" s="70">
        <f>Surv[[#Totals],[Column8]]</f>
        <v>0</v>
      </c>
      <c r="E39" s="70">
        <f>Surv[[#Totals],[Column9]]</f>
        <v>0</v>
      </c>
      <c r="F39" s="74">
        <f>IFERROR(D39/C39,0)</f>
        <v>0</v>
      </c>
      <c r="G39" s="171">
        <f>Surv[[#Totals],[Column10]]</f>
        <v>0</v>
      </c>
      <c r="H39" s="77">
        <f>Surv[[#Totals],[Column16]]</f>
        <v>0</v>
      </c>
      <c r="I39" s="77">
        <f>Surv[[#Totals],[Column12]]</f>
        <v>0</v>
      </c>
      <c r="J39" s="168">
        <f>IFERROR(H39/G39,0)</f>
        <v>0</v>
      </c>
      <c r="K39" s="168">
        <f>IFERROR(G39/C39,0)</f>
        <v>0</v>
      </c>
      <c r="L39" s="169">
        <f>Surv[[#Totals],[Column23]]</f>
        <v>0</v>
      </c>
      <c r="M39" s="170">
        <f>Surv[[#Totals],[Column27]]</f>
        <v>0</v>
      </c>
      <c r="N39" s="170">
        <f>Surv[[#Totals],[Column28]]</f>
        <v>0</v>
      </c>
      <c r="O39" s="74">
        <f>IFERROR(M39/L39,0)</f>
        <v>0</v>
      </c>
      <c r="P39" s="171">
        <f>Surv[[#Totals],[Column15]]</f>
        <v>0</v>
      </c>
      <c r="Q39" s="77">
        <f>Surv[[#Totals],[Column16]]</f>
        <v>0</v>
      </c>
      <c r="R39" s="77">
        <f>Surv[[#Totals],[Column17]]</f>
        <v>0</v>
      </c>
      <c r="S39" s="168">
        <f>IFERROR(Q39/P39,0)</f>
        <v>0</v>
      </c>
      <c r="T39" s="172">
        <f>Surv[[#Totals],[Column19]]</f>
        <v>0</v>
      </c>
      <c r="U39" s="173">
        <f>Surv[[#Totals],[Column20]]</f>
        <v>0</v>
      </c>
      <c r="V39" s="173">
        <f>Surv[[#Totals],[Column21]]</f>
        <v>0</v>
      </c>
      <c r="W39" s="174">
        <f>IFERROR(U39/T39,0)</f>
        <v>0</v>
      </c>
      <c r="X39" s="177">
        <f>Surv[[#Totals],[Column24]]</f>
        <v>0</v>
      </c>
      <c r="Y39" s="173">
        <f>Surv[[#Totals],[Column30]]</f>
        <v>0</v>
      </c>
      <c r="Z39" s="173">
        <f>Surv[[#Totals],[Column29]]</f>
        <v>0</v>
      </c>
      <c r="AA39" s="168">
        <f>IFERROR(Y39/X39,0)</f>
        <v>0</v>
      </c>
      <c r="AB39" s="175">
        <f>Surv[[#Totals],[Column26]]</f>
        <v>0</v>
      </c>
    </row>
    <row r="40" spans="1:28" x14ac:dyDescent="0.2">
      <c r="A40" s="147"/>
      <c r="C40" s="159"/>
      <c r="D40" s="160"/>
      <c r="E40" s="160"/>
      <c r="F40" s="159"/>
      <c r="G40" s="161"/>
      <c r="H40" s="1"/>
      <c r="I40" s="1"/>
      <c r="J40" s="162"/>
      <c r="K40" s="162"/>
      <c r="L40" s="159"/>
      <c r="M40" s="163"/>
      <c r="N40" s="163"/>
      <c r="O40" s="179"/>
      <c r="P40" s="164"/>
      <c r="Q40" s="1"/>
      <c r="R40" s="1"/>
      <c r="S40" s="162"/>
      <c r="T40" s="165"/>
      <c r="U40" s="165"/>
      <c r="V40" s="165"/>
      <c r="W40" s="159"/>
      <c r="X40" s="161"/>
      <c r="Y40" s="165"/>
      <c r="Z40" s="165"/>
      <c r="AA40" s="162"/>
      <c r="AB40" s="166"/>
    </row>
    <row r="41" spans="1:28" ht="18" collapsed="1" x14ac:dyDescent="0.2">
      <c r="A41" s="8">
        <v>16</v>
      </c>
      <c r="B41" s="148" t="s">
        <v>34</v>
      </c>
      <c r="C41" s="72">
        <f>Mod[[#Totals],[Column7]]</f>
        <v>0</v>
      </c>
      <c r="D41" s="70">
        <f>Mod[[#Totals],[Column8]]</f>
        <v>0</v>
      </c>
      <c r="E41" s="70">
        <f>Mod[[#Totals],[Column9]]</f>
        <v>0</v>
      </c>
      <c r="F41" s="74">
        <f>IFERROR(D41/C41,0)</f>
        <v>0</v>
      </c>
      <c r="G41" s="171">
        <f>Mod[[#Totals],[Column10]]</f>
        <v>0</v>
      </c>
      <c r="H41" s="77">
        <f>Mod[[#Totals],[Column11]]</f>
        <v>0</v>
      </c>
      <c r="I41" s="77">
        <f>Mod[[#Totals],[Column12]]</f>
        <v>0</v>
      </c>
      <c r="J41" s="168">
        <f>IFERROR(H41/G41,0)</f>
        <v>0</v>
      </c>
      <c r="K41" s="168">
        <f>IFERROR(G41/C41,0)</f>
        <v>0</v>
      </c>
      <c r="L41" s="169">
        <f>Mod[[#Totals],[Column23]]</f>
        <v>0</v>
      </c>
      <c r="M41" s="170">
        <f>Mod[[#Totals],[Column27]]</f>
        <v>0</v>
      </c>
      <c r="N41" s="170">
        <f>Mod[[#Totals],[Column28]]</f>
        <v>0</v>
      </c>
      <c r="O41" s="74">
        <f>IFERROR(M41/L41,0)</f>
        <v>0</v>
      </c>
      <c r="P41" s="171">
        <f>Mod[[#Totals],[Column15]]</f>
        <v>0</v>
      </c>
      <c r="Q41" s="77">
        <f>Mod[[#Totals],[Column16]]</f>
        <v>0</v>
      </c>
      <c r="R41" s="77">
        <f>Mod[[#Totals],[Column17]]</f>
        <v>0</v>
      </c>
      <c r="S41" s="168">
        <f>IFERROR(Q41/P41,0)</f>
        <v>0</v>
      </c>
      <c r="T41" s="172">
        <f>Mod[[#Totals],[Column19]]</f>
        <v>0</v>
      </c>
      <c r="U41" s="173">
        <f>Mod[[#Totals],[Column20]]</f>
        <v>0</v>
      </c>
      <c r="V41" s="173">
        <f>Mod[[#Totals],[Column21]]</f>
        <v>0</v>
      </c>
      <c r="W41" s="174">
        <f>IFERROR(U41/T41,0)</f>
        <v>0</v>
      </c>
      <c r="X41" s="177">
        <f>Mod[[#Totals],[Column24]]</f>
        <v>0</v>
      </c>
      <c r="Y41" s="173">
        <f>Mod[[#Totals],[Column30]]</f>
        <v>0</v>
      </c>
      <c r="Z41" s="173">
        <f>Mod[[#Totals],[Column29]]</f>
        <v>0</v>
      </c>
      <c r="AA41" s="168">
        <f>IFERROR(Y41/X41,0)</f>
        <v>0</v>
      </c>
      <c r="AB41" s="175">
        <f>Mod[[#Totals],[Column26]]</f>
        <v>0</v>
      </c>
    </row>
    <row r="42" spans="1:28" x14ac:dyDescent="0.2">
      <c r="A42" s="147"/>
      <c r="C42" s="159"/>
      <c r="D42" s="160"/>
      <c r="E42" s="160"/>
      <c r="F42" s="159"/>
      <c r="G42" s="161"/>
      <c r="H42" s="1"/>
      <c r="I42" s="1"/>
      <c r="J42" s="162"/>
      <c r="K42" s="162"/>
      <c r="L42" s="159"/>
      <c r="M42" s="163"/>
      <c r="N42" s="163"/>
      <c r="O42" s="179"/>
      <c r="P42" s="164"/>
      <c r="Q42" s="1"/>
      <c r="R42" s="1"/>
      <c r="S42" s="162"/>
      <c r="T42" s="165"/>
      <c r="U42" s="165"/>
      <c r="V42" s="165"/>
      <c r="W42" s="159"/>
      <c r="X42" s="161"/>
      <c r="Y42" s="165"/>
      <c r="Z42" s="165"/>
      <c r="AA42" s="162"/>
      <c r="AB42" s="166"/>
    </row>
    <row r="43" spans="1:28" ht="18" collapsed="1" x14ac:dyDescent="0.2">
      <c r="A43" s="8">
        <v>17</v>
      </c>
      <c r="B43" s="148" t="s">
        <v>36</v>
      </c>
      <c r="C43" s="72">
        <f>Ship[[#Totals],[Column7]]</f>
        <v>0</v>
      </c>
      <c r="D43" s="70">
        <f>Ship[[#Totals],[Column8]]</f>
        <v>0</v>
      </c>
      <c r="E43" s="70">
        <f>Ship[[#Totals],[Column9]]</f>
        <v>0</v>
      </c>
      <c r="F43" s="74">
        <f>IFERROR(D43/C43,0)</f>
        <v>0</v>
      </c>
      <c r="G43" s="171">
        <f>Ship[[#Totals],[Column10]]</f>
        <v>0</v>
      </c>
      <c r="H43" s="77">
        <f>Ship[[#Totals],[Column11]]</f>
        <v>0</v>
      </c>
      <c r="I43" s="77">
        <f>Ship[[#Totals],[Column12]]</f>
        <v>0</v>
      </c>
      <c r="J43" s="168">
        <f>IFERROR(H43/G43,0)</f>
        <v>0</v>
      </c>
      <c r="K43" s="168">
        <f>IFERROR(G43/C43,0)</f>
        <v>0</v>
      </c>
      <c r="L43" s="169">
        <f>Ship[[#Totals],[Column23]]</f>
        <v>0</v>
      </c>
      <c r="M43" s="170">
        <f>Ship[[#Totals],[Column27]]</f>
        <v>0</v>
      </c>
      <c r="N43" s="170">
        <f>Ship[[#Totals],[Column28]]</f>
        <v>0</v>
      </c>
      <c r="O43" s="74">
        <f>IFERROR(M43/L43,0)</f>
        <v>0</v>
      </c>
      <c r="P43" s="171">
        <f>Ship[[#Totals],[Column15]]</f>
        <v>0</v>
      </c>
      <c r="Q43" s="77">
        <f>Ship[[#Totals],[Column16]]</f>
        <v>0</v>
      </c>
      <c r="R43" s="77">
        <f>Ship[[#Totals],[Column17]]</f>
        <v>0</v>
      </c>
      <c r="S43" s="168">
        <f>IFERROR(Q43/P43,0)</f>
        <v>0</v>
      </c>
      <c r="T43" s="172">
        <f>Ship[[#Totals],[Column19]]</f>
        <v>0</v>
      </c>
      <c r="U43" s="173">
        <f>Ship[[#Totals],[Column20]]</f>
        <v>0</v>
      </c>
      <c r="V43" s="173">
        <f>Ship[[#Totals],[Column21]]</f>
        <v>0</v>
      </c>
      <c r="W43" s="174">
        <f>IFERROR(U43/T43,0)</f>
        <v>0</v>
      </c>
      <c r="X43" s="177">
        <f>Ship[[#Totals],[Column24]]</f>
        <v>0</v>
      </c>
      <c r="Y43" s="173">
        <f>Ship[[#Totals],[Column30]]</f>
        <v>0</v>
      </c>
      <c r="Z43" s="173">
        <f>Ship[[#Totals],[Column29]]</f>
        <v>0</v>
      </c>
      <c r="AA43" s="168">
        <f>IFERROR(Y43/X43,0)</f>
        <v>0</v>
      </c>
      <c r="AB43" s="175">
        <f>Ship[[#Totals],[Column26]]</f>
        <v>0</v>
      </c>
    </row>
    <row r="44" spans="1:28" x14ac:dyDescent="0.2">
      <c r="A44" s="147"/>
      <c r="C44" s="159"/>
      <c r="D44" s="160"/>
      <c r="E44" s="160"/>
      <c r="F44" s="159"/>
      <c r="G44" s="161"/>
      <c r="H44" s="1"/>
      <c r="I44" s="1"/>
      <c r="J44" s="162"/>
      <c r="K44" s="162"/>
      <c r="L44" s="159"/>
      <c r="M44" s="163"/>
      <c r="N44" s="163"/>
      <c r="O44" s="179"/>
      <c r="P44" s="164"/>
      <c r="Q44" s="1"/>
      <c r="R44" s="1"/>
      <c r="S44" s="162"/>
      <c r="T44" s="165"/>
      <c r="U44" s="165"/>
      <c r="V44" s="165"/>
      <c r="W44" s="159"/>
      <c r="X44" s="161"/>
      <c r="Y44" s="165"/>
      <c r="Z44" s="165"/>
      <c r="AA44" s="162"/>
      <c r="AB44" s="166"/>
    </row>
    <row r="45" spans="1:28" ht="18" collapsed="1" x14ac:dyDescent="0.2">
      <c r="A45" s="8">
        <v>18</v>
      </c>
      <c r="B45" s="148" t="s">
        <v>38</v>
      </c>
      <c r="C45" s="72">
        <f>Others[[#Totals],[Column7]]</f>
        <v>2</v>
      </c>
      <c r="D45" s="70">
        <f>Others[[#Totals],[Column8]]</f>
        <v>0</v>
      </c>
      <c r="E45" s="70">
        <f>Others[[#Totals],[Column9]]</f>
        <v>2</v>
      </c>
      <c r="F45" s="74">
        <f>IFERROR(D45/C45,0)</f>
        <v>0</v>
      </c>
      <c r="G45" s="171">
        <f>Others[[#Totals],[Column10]]</f>
        <v>0</v>
      </c>
      <c r="H45" s="77">
        <f>Others[[#Totals],[Column11]]</f>
        <v>0</v>
      </c>
      <c r="I45" s="77">
        <f>Others[[#Totals],[Column12]]</f>
        <v>0</v>
      </c>
      <c r="J45" s="168">
        <f>IFERROR(H45/G45,0)</f>
        <v>0</v>
      </c>
      <c r="K45" s="168">
        <f>IFERROR(G45/C45,0)</f>
        <v>0</v>
      </c>
      <c r="L45" s="169">
        <f>Others[[#Totals],[Column23]]</f>
        <v>0</v>
      </c>
      <c r="M45" s="170">
        <f>Others[[#Totals],[Column27]]</f>
        <v>0</v>
      </c>
      <c r="N45" s="170">
        <f>Others[[#Totals],[Column28]]</f>
        <v>0</v>
      </c>
      <c r="O45" s="74">
        <f>IFERROR(M45/L45,0)</f>
        <v>0</v>
      </c>
      <c r="P45" s="171">
        <f>Others[[#Totals],[Column15]]</f>
        <v>0</v>
      </c>
      <c r="Q45" s="77">
        <f>Others[[#Totals],[Column16]]</f>
        <v>0</v>
      </c>
      <c r="R45" s="77">
        <f>Others[[#Totals],[Column17]]</f>
        <v>0</v>
      </c>
      <c r="S45" s="168">
        <f>IFERROR(Q45/P45,0)</f>
        <v>0</v>
      </c>
      <c r="T45" s="172">
        <f>Others[[#Totals],[Column19]]</f>
        <v>0</v>
      </c>
      <c r="U45" s="173">
        <f>Others[[#Totals],[Column20]]</f>
        <v>0</v>
      </c>
      <c r="V45" s="173">
        <f>Others[[#Totals],[Column21]]</f>
        <v>0</v>
      </c>
      <c r="W45" s="174">
        <f>IFERROR(U45/T45,0)</f>
        <v>0</v>
      </c>
      <c r="X45" s="177">
        <f>Others[[#Totals],[Column24]]</f>
        <v>0</v>
      </c>
      <c r="Y45" s="173">
        <f>Others[[#Totals],[Column30]]</f>
        <v>0</v>
      </c>
      <c r="Z45" s="173">
        <f>Others[[#Totals],[Column29]]</f>
        <v>0</v>
      </c>
      <c r="AA45" s="168">
        <f>IFERROR(Y45/X45,0)</f>
        <v>0</v>
      </c>
      <c r="AB45" s="175">
        <f>Others[[#Totals],[Column26]]</f>
        <v>0</v>
      </c>
    </row>
    <row r="46" spans="1:28" x14ac:dyDescent="0.2">
      <c r="A46" s="147"/>
      <c r="C46" s="159"/>
      <c r="D46" s="1"/>
      <c r="E46" s="1"/>
      <c r="F46" s="159"/>
      <c r="G46" s="161"/>
      <c r="H46" s="1"/>
      <c r="I46" s="1"/>
      <c r="J46" s="162"/>
      <c r="K46" s="162"/>
      <c r="L46" s="159"/>
      <c r="M46" s="163"/>
      <c r="N46" s="163"/>
      <c r="O46" s="159"/>
      <c r="P46" s="164"/>
      <c r="Q46" s="1"/>
      <c r="R46" s="1"/>
      <c r="S46" s="162"/>
      <c r="T46" s="165"/>
      <c r="U46" s="165"/>
      <c r="V46" s="165"/>
      <c r="W46" s="159"/>
      <c r="X46" s="161"/>
      <c r="Y46" s="165"/>
      <c r="Z46" s="165"/>
      <c r="AA46" s="162"/>
      <c r="AB46" s="166"/>
    </row>
    <row r="47" spans="1:28" ht="31.5" customHeight="1" thickBot="1" x14ac:dyDescent="0.25">
      <c r="A47" s="644"/>
      <c r="B47" s="645"/>
      <c r="C47" s="180">
        <f>C11+C13+C15+C17+C19+C21+C23+C25+C27+C29+C31+C33+C35+C37+C39+C41+C43+C45</f>
        <v>2</v>
      </c>
      <c r="D47" s="181">
        <f>D11+D13+D15+D17+D19+D21+D23+D25+D27+D29+D31+D33+D35+D37+D39+D41+D43+D45</f>
        <v>0</v>
      </c>
      <c r="E47" s="181">
        <f>E11+E13+E15+E17+E19+E21+E23+E25+E27+E29+E31+E33+E35+E37+E39+E41+E43+E45</f>
        <v>2</v>
      </c>
      <c r="F47" s="182">
        <f>IFERROR(D47/C47,0)</f>
        <v>0</v>
      </c>
      <c r="G47" s="183">
        <f>G11+G13+G15+G17+G19+G21+G23+G25+G27+G29+G31+G33+G35+G37+G39+G41+G43+G45</f>
        <v>0</v>
      </c>
      <c r="H47" s="181">
        <f>H11+H13+H15+H17+H19+H21+H23+H25+H27+H29+H31+H33+H35+H37+H39+H41+H43+H45</f>
        <v>0</v>
      </c>
      <c r="I47" s="181">
        <f>I11+I13+I15+I17+I19+I21+I23+I25+I27+I29+I31+I33+I35+I37+I39+I41+I43+I45</f>
        <v>0</v>
      </c>
      <c r="J47" s="184">
        <f>IFERROR(H47/G47,0)</f>
        <v>0</v>
      </c>
      <c r="K47" s="184">
        <f>IFERROR(G47/C47,0)</f>
        <v>0</v>
      </c>
      <c r="L47" s="185">
        <f>L11+L13+L15+L17+L19+L21+L23+L25+L27+L29+L31+L33+L35+L37+L39+L41+L43+L45</f>
        <v>0</v>
      </c>
      <c r="M47" s="186">
        <f>M11+M13+M15+M17+M19+M21+M23+M25+M27+M29+M31+M33+M35+M37+M39+M41+M43+M45</f>
        <v>0</v>
      </c>
      <c r="N47" s="186">
        <f>N11+N13+N15+N17+N19+N21+N23+N25+N27+N29+N31+N33+N35+N37+N39+N41+N43+N45</f>
        <v>0</v>
      </c>
      <c r="O47" s="182">
        <f>IFERROR(M47/L47,0)</f>
        <v>0</v>
      </c>
      <c r="P47" s="183">
        <f>P11+P13+P15+P17+P19+P21+P23+P25+P27+P29+P31+P33+P35+P37+P39+P41+P43+P45</f>
        <v>0</v>
      </c>
      <c r="Q47" s="181">
        <f>Q11+Q13+Q15+Q17+Q19+Q21+Q23+Q25+Q27+Q29+Q31+Q33+Q35+Q37+Q39+Q41+Q43+Q45</f>
        <v>0</v>
      </c>
      <c r="R47" s="181">
        <f>R11+R13+R15+R17+R19+R21+R23+R25+R27+R29+R31+R33+R35+R37+R39+R41+R43+R45</f>
        <v>0</v>
      </c>
      <c r="S47" s="184">
        <f>IFERROR(Q47/P47,0)</f>
        <v>0</v>
      </c>
      <c r="T47" s="187">
        <f>T11+T13+T15+T17+T19+T21+T23+T25+T27+T29+T31+T33+T35+T37+T39+T41+T43+T45</f>
        <v>0</v>
      </c>
      <c r="U47" s="188">
        <f>U11+U13+U15+U17+U19+U21+U23+U25+U27+U29+U31+U33+U35+U37+U39+U41+U43+U45</f>
        <v>0</v>
      </c>
      <c r="V47" s="188">
        <f>V11+V13+V15+V17+V19+V21+V23+V25+V27+V29+V31+V33+V35+V37+V39+V41+V43+V45</f>
        <v>0</v>
      </c>
      <c r="W47" s="189">
        <f>IFERROR(U47/T47,0)</f>
        <v>0</v>
      </c>
      <c r="X47" s="190">
        <f>X11+X13+X15+X17+X19+X21+X23+X25+X27+X29+X31+X33+X35+X37+X39+X41+X43+X45</f>
        <v>0</v>
      </c>
      <c r="Y47" s="188">
        <f>Y11+Y13+Y15+Y17+Y19+Y21+Y23+Y25+Y27+Y29+Y31+Y33+Y35+Y37+Y39+Y41+Y43+Y45</f>
        <v>0</v>
      </c>
      <c r="Z47" s="188">
        <f>Z11+Z13+Z15+Z17+Z19+Z21+Z23+Z25+Z27+Z29+Z31+Z33+Z35+Z37+Z39+Z41+Z43+Z45</f>
        <v>0</v>
      </c>
      <c r="AA47" s="184">
        <f>IFERROR(Y47/X47,0)</f>
        <v>0</v>
      </c>
      <c r="AB47" s="191">
        <f>IFERROR(X47/T47,0)</f>
        <v>0</v>
      </c>
    </row>
  </sheetData>
  <dataConsolidate link="1">
    <dataRefs count="3">
      <dataRef ref="L13:AB13" sheet="#1"/>
      <dataRef ref="L13:AB13" sheet="#2"/>
      <dataRef ref="L13:AB13" sheet="#3"/>
    </dataRefs>
  </dataConsolidate>
  <mergeCells count="14">
    <mergeCell ref="B2:C2"/>
    <mergeCell ref="B3:C3"/>
    <mergeCell ref="B4:C4"/>
    <mergeCell ref="A47:B47"/>
    <mergeCell ref="A8:W8"/>
    <mergeCell ref="A9:A10"/>
    <mergeCell ref="B9:B10"/>
    <mergeCell ref="C9:F9"/>
    <mergeCell ref="X9:AA9"/>
    <mergeCell ref="T9:W9"/>
    <mergeCell ref="X8:AB8"/>
    <mergeCell ref="G9:J9"/>
    <mergeCell ref="P9:S9"/>
    <mergeCell ref="L9:O9"/>
  </mergeCells>
  <hyperlinks>
    <hyperlink ref="B11" location="'#1'!A1" display="Feed And Detailed Engineering And Other Engineering Services" xr:uid="{7E78B4F7-C696-40FB-ADA5-775356EAF001}"/>
    <hyperlink ref="B13" location="'#2'!A1" display="Fabrication And Construction" xr:uid="{95C836EA-6849-4AD9-B33E-1D8887D7BD25}"/>
    <hyperlink ref="B15" location="'#3'!A1" display="Materials And Procurement" xr:uid="{DF0D3775-F270-4048-922A-E60F278043CE}"/>
    <hyperlink ref="B17" location="'#4'!A1" display="Well &amp; Drilling Services / Petroleum Technology" xr:uid="{4ACB7264-1849-4D9C-BBD1-678EC3FE51AB}"/>
    <hyperlink ref="B19" location="'#5'!A1" display="Research And Development" xr:uid="{A3EB61C6-057A-467F-9B4D-5277DD236802}"/>
    <hyperlink ref="B21" location="'#6'!A1" display="Exploration, Subsurface, Petroleum Engineering &amp; Seismic" xr:uid="{0EDAC632-C245-45DB-B3C7-E8A023F29207}"/>
    <hyperlink ref="B23" location="'#7'!A1" display="Transportation / Supply / Disposal Services" xr:uid="{FAEDF4FA-3802-4067-BC41-38476829DF34}"/>
    <hyperlink ref="B25" location="'#8'!A1" display="Health, Safety &amp; Environment" xr:uid="{6C567C5E-F856-4880-BCAA-D86837BFB8B1}"/>
    <hyperlink ref="B27" location="'#9'!A1" display="Information Systems / Information Technology / Communication Services" xr:uid="{90B89EA9-D657-4A9A-9561-F0DE4CAE89E4}"/>
    <hyperlink ref="B29" location="'#10'!A1" display="Marine, Operations &amp; Logistics Services" xr:uid="{4FC89680-FE19-45A6-A5FC-AD314CC9A0BE}"/>
    <hyperlink ref="B31" location="'#11'!A1" display="Finance &amp; Insurance" xr:uid="{FF764984-7AD4-4793-8B5B-5A39811F5352}"/>
    <hyperlink ref="B33" location="'#12'!A1" display="Installation, Hookup &amp; Commissioning" xr:uid="{DF5CBDF0-D4F2-4105-B61A-A335C5483B60}"/>
    <hyperlink ref="B35" location="'#13'!A1" display="Inspection, Testing &amp; Certification" xr:uid="{B5D0B1C0-63D1-4C8C-AFA6-B47BDB0703A0}"/>
    <hyperlink ref="B37" location="'#14'!A1" display="Project Management / Consulting Services" xr:uid="{53D87941-CF53-419D-8177-FA137585B2BC}"/>
    <hyperlink ref="B39" location="'#15'!A1" display="Surveying / Positioning Services" xr:uid="{3AEA83A7-A627-4B09-9417-D6A0C242EC96}"/>
    <hyperlink ref="B41" location="'#16'!A1" display="Modification &amp; Maintenance" xr:uid="{EE644C41-4304-4AB7-A363-731EDE293219}"/>
    <hyperlink ref="B43" location="'#17'!A1" display="Shipping" xr:uid="{24F90870-737A-43A5-81CF-F3C80B28ED8B}"/>
    <hyperlink ref="B45" location="'#18'!A1" display="Others" xr:uid="{5976D12D-EFD4-4000-9CD5-191B22917620}"/>
  </hyperlinks>
  <pageMargins left="0.7" right="0.7" top="0.75" bottom="0.75" header="0.3" footer="0.3"/>
  <pageSetup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21"/>
  <sheetViews>
    <sheetView view="pageBreakPreview" topLeftCell="F6" zoomScale="50" zoomScaleNormal="55" zoomScaleSheetLayoutView="50" workbookViewId="0">
      <selection activeCell="AE9" sqref="AE9"/>
    </sheetView>
  </sheetViews>
  <sheetFormatPr baseColWidth="10" defaultColWidth="8.6640625" defaultRowHeight="17" x14ac:dyDescent="0.2"/>
  <cols>
    <col min="1" max="1" width="7.5" style="2" customWidth="1"/>
    <col min="2" max="2" width="32.33203125" style="2" customWidth="1"/>
    <col min="3" max="3" width="43.83203125" style="2" bestFit="1" customWidth="1"/>
    <col min="4" max="4" width="40.5" style="2" customWidth="1"/>
    <col min="5" max="5" width="32.83203125" style="2" bestFit="1" customWidth="1"/>
    <col min="6" max="6" width="24" style="2" bestFit="1" customWidth="1"/>
    <col min="7" max="7" width="23.83203125" style="2" customWidth="1"/>
    <col min="8" max="8" width="28.5" style="2" customWidth="1"/>
    <col min="9" max="9" width="15.83203125" style="99" customWidth="1"/>
    <col min="10" max="10" width="11.5" style="2" bestFit="1" customWidth="1"/>
    <col min="11" max="11" width="12.83203125" style="2" bestFit="1" customWidth="1"/>
    <col min="12" max="12" width="9.1640625" style="100" customWidth="1"/>
    <col min="13" max="13" width="10.33203125" style="2" customWidth="1"/>
    <col min="14" max="14" width="13" style="2" customWidth="1"/>
    <col min="15" max="15" width="12.83203125" style="2" customWidth="1"/>
    <col min="16" max="16" width="11.5" style="2" customWidth="1"/>
    <col min="17" max="17" width="16.6640625" style="1" bestFit="1" customWidth="1"/>
    <col min="18" max="18" width="14.5" style="2" customWidth="1" collapsed="1"/>
    <col min="19" max="20" width="14.5" style="101" customWidth="1"/>
    <col min="21" max="21" width="14.5" style="2" customWidth="1"/>
    <col min="22" max="22" width="20.33203125" style="2" customWidth="1"/>
    <col min="23" max="25" width="14.83203125" style="2" customWidth="1"/>
    <col min="26" max="28" width="15.1640625" style="2" customWidth="1"/>
    <col min="29" max="29" width="14.83203125" style="2" customWidth="1"/>
    <col min="30" max="32" width="21" style="2" customWidth="1"/>
    <col min="33" max="33" width="19" style="2" customWidth="1"/>
    <col min="34" max="34" width="14.83203125" style="2" customWidth="1"/>
    <col min="35" max="35" width="33.5" style="2" customWidth="1"/>
    <col min="36" max="16384" width="8.6640625" style="102"/>
  </cols>
  <sheetData>
    <row r="1" spans="1:35" ht="18" hidden="1" thickBot="1" x14ac:dyDescent="0.25">
      <c r="B1" s="3" t="s">
        <v>72</v>
      </c>
    </row>
    <row r="2" spans="1:35" hidden="1" x14ac:dyDescent="0.2">
      <c r="B2" s="26" t="s">
        <v>40</v>
      </c>
      <c r="C2" s="103">
        <f>'Plan-NCCC'!C2</f>
        <v>0</v>
      </c>
      <c r="D2" s="25" t="s">
        <v>41</v>
      </c>
      <c r="E2" s="104">
        <f>'Plan-NCCC'!E2</f>
        <v>0</v>
      </c>
      <c r="F2" s="105"/>
    </row>
    <row r="3" spans="1:35" hidden="1" x14ac:dyDescent="0.2">
      <c r="B3" s="106" t="s">
        <v>42</v>
      </c>
      <c r="C3" s="14">
        <f>'Plan-NCCC'!C3</f>
        <v>0</v>
      </c>
      <c r="D3" s="105" t="s">
        <v>43</v>
      </c>
      <c r="E3" s="107">
        <f>'Plan-NCCC'!E3</f>
        <v>0</v>
      </c>
      <c r="F3" s="105"/>
    </row>
    <row r="4" spans="1:35" ht="34" hidden="1" x14ac:dyDescent="0.2">
      <c r="B4" s="13" t="s">
        <v>44</v>
      </c>
      <c r="C4" s="108">
        <f>'Plan-NCCC'!C4</f>
        <v>0</v>
      </c>
      <c r="D4" s="109" t="s">
        <v>45</v>
      </c>
      <c r="E4" s="110">
        <f>'Plan-NCCC'!E4</f>
        <v>0</v>
      </c>
      <c r="F4" s="15"/>
    </row>
    <row r="5" spans="1:35" ht="18" hidden="1" thickBot="1" x14ac:dyDescent="0.25"/>
    <row r="6" spans="1:35" s="2" customFormat="1" ht="83.5" customHeight="1" thickBot="1" x14ac:dyDescent="0.25">
      <c r="A6" s="520" t="s">
        <v>115</v>
      </c>
      <c r="B6" s="521"/>
      <c r="C6" s="521"/>
      <c r="D6" s="521"/>
      <c r="E6" s="521"/>
      <c r="F6" s="521"/>
      <c r="G6" s="521"/>
      <c r="H6" s="521"/>
      <c r="I6" s="521"/>
      <c r="J6" s="521"/>
      <c r="K6" s="521"/>
      <c r="L6" s="521"/>
      <c r="M6" s="521"/>
      <c r="N6" s="521"/>
      <c r="O6" s="521"/>
      <c r="P6" s="521"/>
      <c r="Q6" s="521"/>
      <c r="R6" s="521"/>
      <c r="S6" s="521"/>
      <c r="T6" s="521"/>
      <c r="U6" s="521"/>
      <c r="V6" s="521"/>
      <c r="W6" s="521"/>
      <c r="X6" s="521"/>
      <c r="Y6" s="521"/>
      <c r="Z6" s="522"/>
      <c r="AA6" s="522"/>
      <c r="AB6" s="522"/>
      <c r="AC6" s="522"/>
      <c r="AD6" s="522"/>
      <c r="AE6" s="522"/>
      <c r="AF6" s="522"/>
      <c r="AG6" s="522"/>
      <c r="AH6" s="522"/>
      <c r="AI6" s="523"/>
    </row>
    <row r="7" spans="1:35" s="2" customFormat="1" ht="83.5" customHeight="1" thickBot="1" x14ac:dyDescent="0.25">
      <c r="A7" s="494" t="s">
        <v>50</v>
      </c>
      <c r="B7" s="495" t="s">
        <v>116</v>
      </c>
      <c r="C7" s="496" t="s">
        <v>52</v>
      </c>
      <c r="D7" s="505" t="s">
        <v>53</v>
      </c>
      <c r="E7" s="506"/>
      <c r="F7" s="507"/>
      <c r="G7" s="498" t="s">
        <v>80</v>
      </c>
      <c r="H7" s="501" t="s">
        <v>81</v>
      </c>
      <c r="I7" s="508" t="s">
        <v>117</v>
      </c>
      <c r="J7" s="509"/>
      <c r="K7" s="509"/>
      <c r="L7" s="510"/>
      <c r="M7" s="511" t="s">
        <v>108</v>
      </c>
      <c r="N7" s="512"/>
      <c r="O7" s="512"/>
      <c r="P7" s="513"/>
      <c r="Q7" s="504" t="s">
        <v>152</v>
      </c>
      <c r="R7" s="505" t="s">
        <v>118</v>
      </c>
      <c r="S7" s="506"/>
      <c r="T7" s="506"/>
      <c r="U7" s="507"/>
      <c r="V7" s="505" t="s">
        <v>145</v>
      </c>
      <c r="W7" s="506"/>
      <c r="X7" s="506"/>
      <c r="Y7" s="507"/>
      <c r="Z7" s="514" t="s">
        <v>57</v>
      </c>
      <c r="AA7" s="515"/>
      <c r="AB7" s="515"/>
      <c r="AC7" s="516"/>
      <c r="AD7" s="517" t="s">
        <v>119</v>
      </c>
      <c r="AE7" s="518"/>
      <c r="AF7" s="518"/>
      <c r="AG7" s="519"/>
      <c r="AH7" s="314" t="s">
        <v>151</v>
      </c>
      <c r="AI7" s="315" t="s">
        <v>120</v>
      </c>
    </row>
    <row r="8" spans="1:35" s="2" customFormat="1" ht="83.5" customHeight="1" thickBot="1" x14ac:dyDescent="0.25">
      <c r="A8" s="199"/>
      <c r="B8" s="200"/>
      <c r="C8" s="497"/>
      <c r="D8" s="201" t="s">
        <v>59</v>
      </c>
      <c r="E8" s="202" t="s">
        <v>86</v>
      </c>
      <c r="F8" s="203" t="s">
        <v>87</v>
      </c>
      <c r="G8" s="499"/>
      <c r="H8" s="502"/>
      <c r="I8" s="329" t="s">
        <v>64</v>
      </c>
      <c r="J8" s="330" t="s">
        <v>88</v>
      </c>
      <c r="K8" s="330" t="s">
        <v>89</v>
      </c>
      <c r="L8" s="331" t="s">
        <v>47</v>
      </c>
      <c r="M8" s="199" t="s">
        <v>64</v>
      </c>
      <c r="N8" s="204" t="s">
        <v>88</v>
      </c>
      <c r="O8" s="204" t="s">
        <v>89</v>
      </c>
      <c r="P8" s="200" t="s">
        <v>47</v>
      </c>
      <c r="Q8" s="503" t="s">
        <v>96</v>
      </c>
      <c r="R8" s="199" t="s">
        <v>64</v>
      </c>
      <c r="S8" s="205" t="s">
        <v>88</v>
      </c>
      <c r="T8" s="205" t="s">
        <v>89</v>
      </c>
      <c r="U8" s="200" t="s">
        <v>47</v>
      </c>
      <c r="V8" s="199" t="s">
        <v>64</v>
      </c>
      <c r="W8" s="204" t="s">
        <v>88</v>
      </c>
      <c r="X8" s="204" t="s">
        <v>89</v>
      </c>
      <c r="Y8" s="200" t="s">
        <v>47</v>
      </c>
      <c r="Z8" s="199" t="s">
        <v>90</v>
      </c>
      <c r="AA8" s="204" t="s">
        <v>91</v>
      </c>
      <c r="AB8" s="204" t="s">
        <v>92</v>
      </c>
      <c r="AC8" s="200" t="s">
        <v>47</v>
      </c>
      <c r="AD8" s="199" t="s">
        <v>90</v>
      </c>
      <c r="AE8" s="205" t="s">
        <v>93</v>
      </c>
      <c r="AF8" s="204" t="s">
        <v>94</v>
      </c>
      <c r="AG8" s="204" t="s">
        <v>95</v>
      </c>
      <c r="AH8" s="204" t="s">
        <v>96</v>
      </c>
      <c r="AI8" s="200" t="s">
        <v>97</v>
      </c>
    </row>
    <row r="9" spans="1:35" ht="72" x14ac:dyDescent="0.2">
      <c r="A9" s="4">
        <v>1</v>
      </c>
      <c r="B9" s="62"/>
      <c r="C9" s="111" t="s">
        <v>121</v>
      </c>
      <c r="D9" s="111"/>
      <c r="E9" s="111"/>
      <c r="F9" s="111"/>
      <c r="G9" s="112"/>
      <c r="H9" s="113"/>
      <c r="I9" s="114">
        <v>0</v>
      </c>
      <c r="J9" s="115">
        <v>0</v>
      </c>
      <c r="K9" s="116">
        <f>Eng[[#This Row],[Column7]]-Eng[[#This Row],[Column8]]</f>
        <v>0</v>
      </c>
      <c r="L9" s="117">
        <f>IFERROR(Eng[[#This Row],[Column8]]/Eng[[#This Row],[Column7]],0)</f>
        <v>0</v>
      </c>
      <c r="M9" s="317">
        <v>0</v>
      </c>
      <c r="N9" s="10">
        <v>0</v>
      </c>
      <c r="O9" s="560">
        <f>Eng[[#This Row],[Column10]]-Eng[[#This Row],[Column11]]</f>
        <v>0</v>
      </c>
      <c r="P9" s="559">
        <f>IFERROR(N9/M9,0)</f>
        <v>0</v>
      </c>
      <c r="Q9" s="559">
        <f>IFERROR(Eng[[#This Row],[Column10]]/Eng[[#This Row],[Column7]],0)</f>
        <v>0</v>
      </c>
      <c r="R9" s="317">
        <v>0</v>
      </c>
      <c r="S9" s="10">
        <v>0</v>
      </c>
      <c r="T9" s="318">
        <f>Eng[[#This Row],[Column23]]-Eng[[#This Row],[Column27]]</f>
        <v>0</v>
      </c>
      <c r="U9" s="319">
        <f>IFERROR(Eng[[#This Row],[Column27]]/Eng[[#This Row],[Column23]],0)</f>
        <v>0</v>
      </c>
      <c r="V9" s="317">
        <v>0</v>
      </c>
      <c r="W9" s="10">
        <v>0</v>
      </c>
      <c r="X9" s="318">
        <f>Eng[[#This Row],[Column15]]-Eng[[#This Row],[Column16]]</f>
        <v>0</v>
      </c>
      <c r="Y9" s="319">
        <f>IFERROR(W9/V9,0)</f>
        <v>0</v>
      </c>
      <c r="Z9" s="320">
        <v>0</v>
      </c>
      <c r="AA9" s="34">
        <v>0</v>
      </c>
      <c r="AB9" s="321">
        <f>Eng[[#This Row],[Column19]]-Eng[[#This Row],[Column20]]</f>
        <v>0</v>
      </c>
      <c r="AC9" s="322">
        <f>IFERROR(AA9/Z9,0)</f>
        <v>0</v>
      </c>
      <c r="AD9" s="323">
        <v>0</v>
      </c>
      <c r="AE9" s="324">
        <v>0</v>
      </c>
      <c r="AF9" s="321">
        <f>Eng[[#This Row],[Column24]]-Eng[[#This Row],[Column30]]</f>
        <v>0</v>
      </c>
      <c r="AG9" s="322">
        <f>IFERROR(Eng[[#This Row],[Column30]]/Eng[[#This Row],[Column24]],0)</f>
        <v>0</v>
      </c>
      <c r="AH9" s="35">
        <f>IFERROR(Eng[[#This Row],[Column24]]/Eng[[#This Row],[Column19]],0)</f>
        <v>0</v>
      </c>
      <c r="AI9" s="325"/>
    </row>
    <row r="10" spans="1:35" ht="72" x14ac:dyDescent="0.2">
      <c r="A10" s="4">
        <v>2</v>
      </c>
      <c r="B10" s="111"/>
      <c r="C10" s="111" t="s">
        <v>121</v>
      </c>
      <c r="D10" s="111"/>
      <c r="E10" s="111"/>
      <c r="F10" s="111"/>
      <c r="G10" s="126"/>
      <c r="H10" s="127"/>
      <c r="I10" s="114">
        <v>0</v>
      </c>
      <c r="J10" s="128">
        <v>0</v>
      </c>
      <c r="K10" s="116">
        <f>Eng[[#This Row],[Column7]]-Eng[[#This Row],[Column8]]</f>
        <v>0</v>
      </c>
      <c r="L10" s="117">
        <f>IFERROR(Eng[[#This Row],[Column8]]/Eng[[#This Row],[Column7]],0)</f>
        <v>0</v>
      </c>
      <c r="M10" s="118">
        <v>0</v>
      </c>
      <c r="N10" s="119">
        <v>0</v>
      </c>
      <c r="O10" s="120">
        <f>Eng[[#This Row],[Column10]]-Eng[[#This Row],[Column11]]</f>
        <v>0</v>
      </c>
      <c r="P10" s="81">
        <f>IFERROR(N10/M10,0)</f>
        <v>0</v>
      </c>
      <c r="Q10" s="559">
        <f>IFERROR(Eng[[#This Row],[Column10]]/Eng[[#This Row],[Column7]],0)</f>
        <v>0</v>
      </c>
      <c r="R10" s="118">
        <v>0</v>
      </c>
      <c r="S10" s="119">
        <v>0</v>
      </c>
      <c r="T10" s="120">
        <f>Eng[[#This Row],[Column23]]-Eng[[#This Row],[Column27]]</f>
        <v>0</v>
      </c>
      <c r="U10" s="81">
        <f>IFERROR(Eng[[#This Row],[Column27]]/Eng[[#This Row],[Column23]],0)</f>
        <v>0</v>
      </c>
      <c r="V10" s="118">
        <v>0</v>
      </c>
      <c r="W10" s="119">
        <v>0</v>
      </c>
      <c r="X10" s="120">
        <f>Eng[[#This Row],[Column15]]-Eng[[#This Row],[Column16]]</f>
        <v>0</v>
      </c>
      <c r="Y10" s="81">
        <f>IFERROR(W12/V12,0)</f>
        <v>0</v>
      </c>
      <c r="Z10" s="121">
        <v>0</v>
      </c>
      <c r="AA10" s="129">
        <v>0</v>
      </c>
      <c r="AB10" s="123">
        <f>Eng[[#This Row],[Column19]]-Eng[[#This Row],[Column20]]</f>
        <v>0</v>
      </c>
      <c r="AC10" s="82">
        <f t="shared" ref="AC10:AC12" si="0">IFERROR(AA10/Z10,0)</f>
        <v>0</v>
      </c>
      <c r="AD10" s="124">
        <v>0</v>
      </c>
      <c r="AE10" s="125">
        <v>0</v>
      </c>
      <c r="AF10" s="123">
        <f>Eng[[#This Row],[Column24]]-Eng[[#This Row],[Column30]]</f>
        <v>0</v>
      </c>
      <c r="AG10" s="82">
        <f>IFERROR(Eng[[#This Row],[Column30]]/Eng[[#This Row],[Column24]],0)</f>
        <v>0</v>
      </c>
      <c r="AH10" s="6">
        <f>IFERROR(Eng[[#This Row],[Column24]]/Eng[[#This Row],[Column19]],0)</f>
        <v>0</v>
      </c>
      <c r="AI10" s="130"/>
    </row>
    <row r="11" spans="1:35" ht="72" x14ac:dyDescent="0.2">
      <c r="A11" s="4">
        <v>3</v>
      </c>
      <c r="B11" s="62"/>
      <c r="C11" s="111" t="s">
        <v>121</v>
      </c>
      <c r="D11" s="111"/>
      <c r="E11" s="111"/>
      <c r="F11" s="111"/>
      <c r="G11" s="126"/>
      <c r="H11" s="127"/>
      <c r="I11" s="114">
        <v>0</v>
      </c>
      <c r="J11" s="128">
        <v>0</v>
      </c>
      <c r="K11" s="116">
        <f>Eng[[#This Row],[Column7]]-Eng[[#This Row],[Column8]]</f>
        <v>0</v>
      </c>
      <c r="L11" s="117">
        <f>IFERROR(Eng[[#This Row],[Column8]]/Eng[[#This Row],[Column7]],0)</f>
        <v>0</v>
      </c>
      <c r="M11" s="118">
        <v>0</v>
      </c>
      <c r="N11" s="119">
        <v>0</v>
      </c>
      <c r="O11" s="120">
        <f>Eng[[#This Row],[Column10]]-Eng[[#This Row],[Column11]]</f>
        <v>0</v>
      </c>
      <c r="P11" s="81">
        <f>IFERROR(N11/M11,0)</f>
        <v>0</v>
      </c>
      <c r="Q11" s="559">
        <f>IFERROR(Eng[[#This Row],[Column10]]/Eng[[#This Row],[Column7]],0)</f>
        <v>0</v>
      </c>
      <c r="R11" s="118">
        <v>0</v>
      </c>
      <c r="S11" s="119">
        <v>0</v>
      </c>
      <c r="T11" s="120">
        <f>Eng[[#This Row],[Column23]]-Eng[[#This Row],[Column27]]</f>
        <v>0</v>
      </c>
      <c r="U11" s="81">
        <f>IFERROR(Eng[[#This Row],[Column27]]/Eng[[#This Row],[Column23]],0)</f>
        <v>0</v>
      </c>
      <c r="V11" s="118">
        <v>0</v>
      </c>
      <c r="W11" s="119">
        <v>0</v>
      </c>
      <c r="X11" s="120">
        <f>Eng[[#This Row],[Column15]]-Eng[[#This Row],[Column16]]</f>
        <v>0</v>
      </c>
      <c r="Y11" s="81">
        <f>IFERROR(W11/V11,0)</f>
        <v>0</v>
      </c>
      <c r="Z11" s="121">
        <v>0</v>
      </c>
      <c r="AA11" s="122">
        <v>0</v>
      </c>
      <c r="AB11" s="123">
        <f>Eng[[#This Row],[Column19]]-Eng[[#This Row],[Column20]]</f>
        <v>0</v>
      </c>
      <c r="AC11" s="82">
        <f t="shared" si="0"/>
        <v>0</v>
      </c>
      <c r="AD11" s="124">
        <v>0</v>
      </c>
      <c r="AE11" s="125">
        <v>0</v>
      </c>
      <c r="AF11" s="123">
        <f>Eng[[#This Row],[Column24]]-Eng[[#This Row],[Column30]]</f>
        <v>0</v>
      </c>
      <c r="AG11" s="82">
        <f>IFERROR(Eng[[#This Row],[Column30]]/Eng[[#This Row],[Column24]],0)</f>
        <v>0</v>
      </c>
      <c r="AH11" s="6">
        <f>IFERROR(Eng[[#This Row],[Column24]]/Eng[[#This Row],[Column19]],0)</f>
        <v>0</v>
      </c>
      <c r="AI11" s="36"/>
    </row>
    <row r="12" spans="1:35" ht="73" thickBot="1" x14ac:dyDescent="0.25">
      <c r="A12" s="4">
        <v>4</v>
      </c>
      <c r="B12" s="62"/>
      <c r="C12" s="111" t="s">
        <v>121</v>
      </c>
      <c r="D12" s="111"/>
      <c r="E12" s="111"/>
      <c r="F12" s="111"/>
      <c r="G12" s="131"/>
      <c r="H12" s="132"/>
      <c r="I12" s="133">
        <v>0</v>
      </c>
      <c r="J12" s="134">
        <v>0</v>
      </c>
      <c r="K12" s="135">
        <f>Eng[[#This Row],[Column7]]-Eng[[#This Row],[Column8]]</f>
        <v>0</v>
      </c>
      <c r="L12" s="136">
        <f>IFERROR(Eng[[#This Row],[Column8]]/Eng[[#This Row],[Column7]],0)</f>
        <v>0</v>
      </c>
      <c r="M12" s="137">
        <v>0</v>
      </c>
      <c r="N12" s="75">
        <v>0</v>
      </c>
      <c r="O12" s="138">
        <f>Eng[[#This Row],[Column10]]-Eng[[#This Row],[Column11]]</f>
        <v>0</v>
      </c>
      <c r="P12" s="83">
        <f t="shared" ref="P12" si="1">IFERROR(N12/M12,0)</f>
        <v>0</v>
      </c>
      <c r="Q12" s="559">
        <f>IFERROR(Eng[[#This Row],[Column10]]/Eng[[#This Row],[Column7]],0)</f>
        <v>0</v>
      </c>
      <c r="R12" s="137">
        <v>0</v>
      </c>
      <c r="S12" s="75">
        <v>0</v>
      </c>
      <c r="T12" s="138">
        <f>Eng[[#This Row],[Column23]]-Eng[[#This Row],[Column27]]</f>
        <v>0</v>
      </c>
      <c r="U12" s="83">
        <f>IFERROR(Eng[[#This Row],[Column27]]/Eng[[#This Row],[Column23]],0)</f>
        <v>0</v>
      </c>
      <c r="V12" s="137">
        <v>0</v>
      </c>
      <c r="W12" s="75">
        <v>0</v>
      </c>
      <c r="X12" s="138">
        <f>Eng[[#This Row],[Column15]]-Eng[[#This Row],[Column16]]</f>
        <v>0</v>
      </c>
      <c r="Y12" s="83">
        <f>IFERROR(W12/V12,0)</f>
        <v>0</v>
      </c>
      <c r="Z12" s="139">
        <v>0</v>
      </c>
      <c r="AA12" s="140">
        <v>0</v>
      </c>
      <c r="AB12" s="141">
        <f>Eng[[#This Row],[Column19]]-Eng[[#This Row],[Column20]]</f>
        <v>0</v>
      </c>
      <c r="AC12" s="84">
        <f t="shared" si="0"/>
        <v>0</v>
      </c>
      <c r="AD12" s="142">
        <v>0</v>
      </c>
      <c r="AE12" s="143">
        <v>0</v>
      </c>
      <c r="AF12" s="141">
        <f>Eng[[#This Row],[Column24]]-Eng[[#This Row],[Column30]]</f>
        <v>0</v>
      </c>
      <c r="AG12" s="84">
        <f>IFERROR(Eng[[#This Row],[Column30]]/Eng[[#This Row],[Column24]],0)</f>
        <v>0</v>
      </c>
      <c r="AH12" s="144">
        <f>IFERROR(Eng[[#This Row],[Column24]]/Eng[[#This Row],[Column19]],0)</f>
        <v>0</v>
      </c>
      <c r="AI12" s="85"/>
    </row>
    <row r="13" spans="1:35" ht="32" thickBot="1" x14ac:dyDescent="0.25">
      <c r="A13" s="261"/>
      <c r="B13" s="262"/>
      <c r="C13" s="263"/>
      <c r="D13" s="264" t="s">
        <v>70</v>
      </c>
      <c r="E13" s="262"/>
      <c r="F13" s="265"/>
      <c r="G13" s="266"/>
      <c r="H13" s="267"/>
      <c r="I13" s="471">
        <f>SUBTOTAL(109,Eng[Column7])</f>
        <v>0</v>
      </c>
      <c r="J13" s="268">
        <f>SUBTOTAL(109,Eng[Column8])</f>
        <v>0</v>
      </c>
      <c r="K13" s="268">
        <f>SUBTOTAL(109,Eng[Column9])</f>
        <v>0</v>
      </c>
      <c r="L13" s="269">
        <f>IFERROR(Eng[[#Totals],[Column8]]/Eng[[#Totals],[Column7]],0)</f>
        <v>0</v>
      </c>
      <c r="M13" s="270">
        <f>SUBTOTAL(109,Eng[Column10])</f>
        <v>0</v>
      </c>
      <c r="N13" s="271">
        <f>SUBTOTAL(109,Eng[Column11])</f>
        <v>0</v>
      </c>
      <c r="O13" s="271">
        <f>SUBTOTAL(109,Eng[Column12])</f>
        <v>0</v>
      </c>
      <c r="P13" s="272">
        <f>IFERROR(Eng[[#Totals],[Column11]]/Eng[[#Totals],[Column10]],0)</f>
        <v>0</v>
      </c>
      <c r="Q13" s="272">
        <f>IFERROR(Eng[[#Totals],[Column10]]/Eng[[#Totals],[Column7]],0)</f>
        <v>0</v>
      </c>
      <c r="R13" s="270">
        <f>SUBTOTAL(109,Eng[Column23])</f>
        <v>0</v>
      </c>
      <c r="S13" s="273">
        <f>SUBTOTAL(109,Eng[Column27])</f>
        <v>0</v>
      </c>
      <c r="T13" s="273">
        <f>SUBTOTAL(109,Eng[Column28])</f>
        <v>0</v>
      </c>
      <c r="U13" s="272">
        <f>IFERROR(Eng[[#Totals],[Column27]]/Eng[[#Totals],[Column23]],0)</f>
        <v>0</v>
      </c>
      <c r="V13" s="270">
        <f>SUBTOTAL(109,Eng[Column15])</f>
        <v>0</v>
      </c>
      <c r="W13" s="273">
        <f>SUBTOTAL(109,Eng[Column16])</f>
        <v>0</v>
      </c>
      <c r="X13" s="273">
        <f>SUBTOTAL(109,Eng[Column17])</f>
        <v>0</v>
      </c>
      <c r="Y13" s="272">
        <f>IFERROR(Eng[[#Totals],[Column16]]/Eng[[#Totals],[Column15]],0)</f>
        <v>0</v>
      </c>
      <c r="Z13" s="274">
        <f>SUBTOTAL(109,Eng[Column19])</f>
        <v>0</v>
      </c>
      <c r="AA13" s="275">
        <f>SUBTOTAL(109,Eng[Column20])</f>
        <v>0</v>
      </c>
      <c r="AB13" s="275">
        <f>SUBTOTAL(109,Eng[Column21])</f>
        <v>0</v>
      </c>
      <c r="AC13" s="272">
        <f>IFERROR(Eng[[#Totals],[Column20]]/Eng[[#Totals],[Column19]],0)</f>
        <v>0</v>
      </c>
      <c r="AD13" s="274">
        <f>SUBTOTAL(109,Eng[Column24])</f>
        <v>0</v>
      </c>
      <c r="AE13" s="276">
        <f>SUBTOTAL(109,Eng[Column30])</f>
        <v>0</v>
      </c>
      <c r="AF13" s="275">
        <f>SUBTOTAL(109,Eng[Column29])</f>
        <v>0</v>
      </c>
      <c r="AG13" s="277">
        <f>IFERROR(Eng[[#Totals],[Column30]]/Eng[[#Totals],[Column24]],0)</f>
        <v>0</v>
      </c>
      <c r="AH13" s="278">
        <f>IFERROR(Eng[[#Totals],[Column24]]/Eng[[#Totals],[Column19]],0)</f>
        <v>0</v>
      </c>
      <c r="AI13" s="279"/>
    </row>
    <row r="14" spans="1:35" ht="18" thickBot="1" x14ac:dyDescent="0.25">
      <c r="A14" s="332" t="s">
        <v>122</v>
      </c>
      <c r="B14" s="333"/>
      <c r="C14" s="333"/>
      <c r="D14" s="333"/>
      <c r="E14" s="333"/>
      <c r="F14" s="333"/>
      <c r="G14" s="333"/>
      <c r="H14" s="333"/>
      <c r="I14" s="334"/>
      <c r="J14" s="333"/>
      <c r="K14" s="333"/>
      <c r="L14" s="335"/>
      <c r="M14" s="333"/>
      <c r="N14" s="333"/>
      <c r="O14" s="333"/>
      <c r="P14" s="333"/>
      <c r="Q14" s="333"/>
      <c r="R14" s="333"/>
      <c r="S14" s="336"/>
      <c r="T14" s="336"/>
      <c r="U14" s="333"/>
      <c r="V14" s="333"/>
      <c r="W14" s="333"/>
      <c r="X14" s="333"/>
      <c r="Y14" s="333"/>
      <c r="Z14" s="333"/>
      <c r="AA14" s="333"/>
      <c r="AB14" s="333"/>
      <c r="AC14" s="333"/>
      <c r="AD14" s="333"/>
      <c r="AE14" s="333"/>
      <c r="AF14" s="333"/>
      <c r="AG14" s="333"/>
      <c r="AH14" s="333"/>
      <c r="AI14" s="337"/>
    </row>
    <row r="21" spans="26:26" x14ac:dyDescent="0.2">
      <c r="Z21" s="145"/>
    </row>
  </sheetData>
  <sheetProtection formatRows="0" insertRows="0" deleteRows="0" selectLockedCells="1" sort="0" autoFilter="0" pivotTables="0"/>
  <dataValidations xWindow="1678" yWindow="781" count="3">
    <dataValidation allowBlank="1" showInputMessage="1" showErrorMessage="1" prompt="Please fill in the cell with text" sqref="B9:F12" xr:uid="{13FEBFA8-F680-43D1-8A8B-919A13C045B2}"/>
    <dataValidation type="decimal" allowBlank="1" showInputMessage="1" showErrorMessage="1" prompt="Input only numbers" sqref="AD9:AE12 Z9:AA12 V9:W12 R9:S12 M9:N12 I9:J12" xr:uid="{7FF0AFF3-F096-462A-9FCB-F406E5D3C360}">
      <formula1>0</formula1>
      <formula2>10000000000</formula2>
    </dataValidation>
    <dataValidation type="custom" allowBlank="1" showInputMessage="1" showErrorMessage="1" errorTitle="NOTICE!" error="Please don't input any value in the cell, there is formula " promptTitle="NOTICE!" prompt="Please don't input any value in the cell, there is formula " sqref="K9:L12 O9:Q12 T9:U12 X9:Y12 AB9:AC12 AF9:AG12" xr:uid="{F7149D7E-BC1A-4FAD-BAEA-6F1D768FBCE2}">
      <formula1>"Please don't input any value in the cell, there is formula "</formula1>
    </dataValidation>
  </dataValidations>
  <printOptions headings="1"/>
  <pageMargins left="0.70866141732283472" right="0.70866141732283472" top="0.74803149606299213" bottom="0.74803149606299213" header="0.31496062992125984" footer="0.31496062992125984"/>
  <pageSetup paperSize="9" orientation="portrait" verticalDpi="4294967295" r:id="rId1"/>
  <colBreaks count="1" manualBreakCount="1">
    <brk id="25" min="5" max="13" man="1"/>
  </colBreaks>
  <ignoredErrors>
    <ignoredError sqref="K8" unlockedFormula="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04244-839E-4E3F-96FF-645BD7702DDF}">
  <dimension ref="A1:AI14"/>
  <sheetViews>
    <sheetView topLeftCell="H6" zoomScale="55" zoomScaleNormal="55" zoomScaleSheetLayoutView="40" workbookViewId="0">
      <selection activeCell="AE10" sqref="AE10"/>
    </sheetView>
  </sheetViews>
  <sheetFormatPr baseColWidth="10" defaultColWidth="8.6640625" defaultRowHeight="17" x14ac:dyDescent="0.2"/>
  <cols>
    <col min="1" max="1" width="13.5" style="2" customWidth="1"/>
    <col min="2" max="2" width="32.33203125" style="2" customWidth="1"/>
    <col min="3" max="3" width="33.5" style="2" customWidth="1"/>
    <col min="4" max="4" width="29.5" style="2" customWidth="1"/>
    <col min="5" max="6" width="27.33203125" style="2" customWidth="1"/>
    <col min="7" max="8" width="36.1640625" style="2" customWidth="1"/>
    <col min="9" max="11" width="15.33203125" style="2" customWidth="1"/>
    <col min="12" max="12" width="14.83203125" style="2" customWidth="1"/>
    <col min="13" max="13" width="17.1640625" style="2" customWidth="1"/>
    <col min="14" max="14" width="16.5" style="2" customWidth="1"/>
    <col min="15" max="20" width="14.83203125" style="2" customWidth="1"/>
    <col min="21" max="21" width="20.33203125" style="2" customWidth="1"/>
    <col min="22" max="24" width="14.83203125" style="2" customWidth="1"/>
    <col min="25" max="25" width="15.1640625" style="2" customWidth="1"/>
    <col min="26" max="26" width="9.6640625" style="2" bestFit="1" customWidth="1"/>
    <col min="27" max="27" width="15.1640625" style="2" customWidth="1"/>
    <col min="28" max="28" width="14.83203125" style="2" customWidth="1"/>
    <col min="29" max="31" width="21" style="2" customWidth="1"/>
    <col min="32" max="32" width="27" style="2" customWidth="1"/>
    <col min="33" max="34" width="14.83203125" style="2" customWidth="1"/>
    <col min="35" max="35" width="14.6640625" style="102" customWidth="1"/>
    <col min="36" max="16384" width="8.6640625" style="102"/>
  </cols>
  <sheetData>
    <row r="1" spans="1:35" ht="18" hidden="1" thickBot="1" x14ac:dyDescent="0.25">
      <c r="B1" s="3" t="s">
        <v>123</v>
      </c>
    </row>
    <row r="2" spans="1:35" ht="18" hidden="1" thickBot="1" x14ac:dyDescent="0.25">
      <c r="B2" s="26" t="s">
        <v>40</v>
      </c>
      <c r="C2" s="238">
        <f>'#1'!C2</f>
        <v>0</v>
      </c>
      <c r="D2" s="25" t="s">
        <v>41</v>
      </c>
      <c r="E2" s="239">
        <f>'#1'!E2</f>
        <v>0</v>
      </c>
      <c r="F2" s="105"/>
    </row>
    <row r="3" spans="1:35" ht="18" hidden="1" thickBot="1" x14ac:dyDescent="0.25">
      <c r="B3" s="106" t="s">
        <v>42</v>
      </c>
      <c r="C3" s="240">
        <f>'#1'!C3</f>
        <v>0</v>
      </c>
      <c r="D3" s="105" t="s">
        <v>43</v>
      </c>
      <c r="E3" s="241">
        <f>'#1'!E3</f>
        <v>0</v>
      </c>
      <c r="F3" s="105"/>
    </row>
    <row r="4" spans="1:35" ht="35" hidden="1" thickBot="1" x14ac:dyDescent="0.25">
      <c r="B4" s="13" t="s">
        <v>44</v>
      </c>
      <c r="C4" s="108">
        <f>'#1'!C4</f>
        <v>0</v>
      </c>
      <c r="D4" s="109" t="s">
        <v>45</v>
      </c>
      <c r="E4" s="242">
        <f>'#1'!E4</f>
        <v>0</v>
      </c>
      <c r="F4" s="15"/>
    </row>
    <row r="5" spans="1:35" ht="18" hidden="1" thickBot="1" x14ac:dyDescent="0.25"/>
    <row r="6" spans="1:35" s="2" customFormat="1" ht="83.5" customHeight="1" thickBot="1" x14ac:dyDescent="0.25">
      <c r="A6" s="520" t="s">
        <v>124</v>
      </c>
      <c r="B6" s="521"/>
      <c r="C6" s="521"/>
      <c r="D6" s="521"/>
      <c r="E6" s="521"/>
      <c r="F6" s="521"/>
      <c r="G6" s="521"/>
      <c r="H6" s="521"/>
      <c r="I6" s="525"/>
      <c r="J6" s="522"/>
      <c r="K6" s="522"/>
      <c r="L6" s="522"/>
      <c r="M6" s="522"/>
      <c r="N6" s="522"/>
      <c r="O6" s="522"/>
      <c r="P6" s="522"/>
      <c r="Q6" s="521"/>
      <c r="R6" s="522"/>
      <c r="S6" s="522"/>
      <c r="T6" s="522"/>
      <c r="U6" s="522"/>
      <c r="V6" s="522"/>
      <c r="W6" s="522"/>
      <c r="X6" s="522"/>
      <c r="Y6" s="522"/>
      <c r="Z6" s="521"/>
      <c r="AA6" s="521"/>
      <c r="AB6" s="521"/>
      <c r="AC6" s="521"/>
      <c r="AD6" s="522"/>
      <c r="AE6" s="522"/>
      <c r="AF6" s="522"/>
      <c r="AG6" s="522"/>
      <c r="AH6" s="524"/>
      <c r="AI6" s="524"/>
    </row>
    <row r="7" spans="1:35" s="2" customFormat="1" ht="83.5" customHeight="1" thickBot="1" x14ac:dyDescent="0.25">
      <c r="A7" s="623" t="s">
        <v>50</v>
      </c>
      <c r="B7" s="625" t="s">
        <v>116</v>
      </c>
      <c r="C7" s="627" t="s">
        <v>52</v>
      </c>
      <c r="D7" s="629" t="s">
        <v>53</v>
      </c>
      <c r="E7" s="630"/>
      <c r="F7" s="631"/>
      <c r="G7" s="632" t="s">
        <v>80</v>
      </c>
      <c r="H7" s="634" t="s">
        <v>81</v>
      </c>
      <c r="I7" s="659" t="s">
        <v>149</v>
      </c>
      <c r="J7" s="660"/>
      <c r="K7" s="660"/>
      <c r="L7" s="563" t="s">
        <v>146</v>
      </c>
      <c r="M7" s="508" t="s">
        <v>148</v>
      </c>
      <c r="N7" s="509"/>
      <c r="O7" s="509"/>
      <c r="P7" s="564"/>
      <c r="Q7" s="504" t="s">
        <v>152</v>
      </c>
      <c r="R7" s="511" t="s">
        <v>109</v>
      </c>
      <c r="S7" s="565"/>
      <c r="T7" s="565"/>
      <c r="U7" s="513"/>
      <c r="V7" s="511" t="s">
        <v>110</v>
      </c>
      <c r="W7" s="512"/>
      <c r="X7" s="512"/>
      <c r="Y7" s="568"/>
      <c r="Z7" s="566" t="s">
        <v>57</v>
      </c>
      <c r="AA7" s="567"/>
      <c r="AB7" s="568"/>
      <c r="AC7" s="517"/>
      <c r="AD7" s="517" t="s">
        <v>119</v>
      </c>
      <c r="AE7" s="569"/>
      <c r="AF7" s="569"/>
      <c r="AG7" s="568"/>
      <c r="AH7" s="314" t="s">
        <v>151</v>
      </c>
      <c r="AI7" s="200" t="s">
        <v>147</v>
      </c>
    </row>
    <row r="8" spans="1:35" s="2" customFormat="1" ht="83.5" customHeight="1" thickBot="1" x14ac:dyDescent="0.25">
      <c r="A8" s="624"/>
      <c r="B8" s="626"/>
      <c r="C8" s="628"/>
      <c r="D8" s="201" t="s">
        <v>59</v>
      </c>
      <c r="E8" s="202" t="s">
        <v>86</v>
      </c>
      <c r="F8" s="203" t="s">
        <v>87</v>
      </c>
      <c r="G8" s="633"/>
      <c r="H8" s="635"/>
      <c r="I8" s="199" t="s">
        <v>64</v>
      </c>
      <c r="J8" s="204" t="s">
        <v>88</v>
      </c>
      <c r="K8" s="200" t="s">
        <v>89</v>
      </c>
      <c r="L8" s="199" t="s">
        <v>47</v>
      </c>
      <c r="M8" s="204" t="s">
        <v>64</v>
      </c>
      <c r="N8" s="204" t="s">
        <v>88</v>
      </c>
      <c r="O8" s="200" t="s">
        <v>89</v>
      </c>
      <c r="P8" s="199" t="s">
        <v>47</v>
      </c>
      <c r="Q8" s="204" t="s">
        <v>96</v>
      </c>
      <c r="R8" s="204" t="s">
        <v>64</v>
      </c>
      <c r="S8" s="204" t="s">
        <v>88</v>
      </c>
      <c r="T8" s="200" t="s">
        <v>89</v>
      </c>
      <c r="U8" s="199" t="s">
        <v>47</v>
      </c>
      <c r="V8" s="204" t="s">
        <v>64</v>
      </c>
      <c r="W8" s="204" t="s">
        <v>88</v>
      </c>
      <c r="X8" s="200" t="s">
        <v>89</v>
      </c>
      <c r="Y8" s="199" t="s">
        <v>47</v>
      </c>
      <c r="Z8" s="199" t="s">
        <v>90</v>
      </c>
      <c r="AA8" s="205" t="s">
        <v>93</v>
      </c>
      <c r="AB8" s="204" t="s">
        <v>94</v>
      </c>
      <c r="AC8" s="204" t="s">
        <v>95</v>
      </c>
      <c r="AD8" s="199" t="s">
        <v>90</v>
      </c>
      <c r="AE8" s="205" t="s">
        <v>93</v>
      </c>
      <c r="AF8" s="204" t="s">
        <v>94</v>
      </c>
      <c r="AG8" s="204" t="s">
        <v>95</v>
      </c>
      <c r="AH8" s="204" t="s">
        <v>96</v>
      </c>
      <c r="AI8" s="570" t="s">
        <v>97</v>
      </c>
    </row>
    <row r="9" spans="1:35" ht="83.5" customHeight="1" x14ac:dyDescent="0.2">
      <c r="A9" s="577">
        <v>1</v>
      </c>
      <c r="B9" s="4"/>
      <c r="C9" s="111" t="s">
        <v>121</v>
      </c>
      <c r="D9" s="4"/>
      <c r="E9" s="111"/>
      <c r="F9" s="111"/>
      <c r="G9" s="111"/>
      <c r="H9" s="113"/>
      <c r="I9" s="571">
        <v>0</v>
      </c>
      <c r="J9" s="10">
        <v>0</v>
      </c>
      <c r="K9" s="578">
        <f>Fab[[#This Row],[Column7]]-Fab[[#This Row],[Column8]]</f>
        <v>0</v>
      </c>
      <c r="L9" s="561">
        <f>IFERROR(Fab[[#This Row],[Column8]]/Fab[[#This Row],[Column7]],0)</f>
        <v>0</v>
      </c>
      <c r="M9" s="317">
        <v>0</v>
      </c>
      <c r="N9" s="10">
        <v>0</v>
      </c>
      <c r="O9" s="578">
        <f>Fab[[#This Row],[Column10]]-Fab[[#This Row],[Column11]]</f>
        <v>0</v>
      </c>
      <c r="P9" s="561">
        <f>IFERROR(Fab[[#This Row],[Column11]]/Fab[[#This Row],[Column10]],0)</f>
        <v>0</v>
      </c>
      <c r="Q9" s="561">
        <f>IFERROR(Fab[[#This Row],[Column10]]/Fab[[#This Row],[Column7]],0)</f>
        <v>0</v>
      </c>
      <c r="R9" s="317">
        <v>0</v>
      </c>
      <c r="S9" s="10">
        <v>0</v>
      </c>
      <c r="T9" s="578">
        <f>Fab[[#This Row],[Column23]]-Fab[[#This Row],[Column27]]</f>
        <v>0</v>
      </c>
      <c r="U9" s="561">
        <f>IFERROR(S9/R9,0)</f>
        <v>0</v>
      </c>
      <c r="V9" s="317">
        <v>0</v>
      </c>
      <c r="W9" s="10">
        <v>0</v>
      </c>
      <c r="X9" s="578">
        <f>Fab[[#This Row],[Column15]]-Fab[[#This Row],[Column16]]</f>
        <v>0</v>
      </c>
      <c r="Y9" s="561">
        <f>IFERROR(W9/V9,0)</f>
        <v>0</v>
      </c>
      <c r="Z9" s="320">
        <v>0</v>
      </c>
      <c r="AA9" s="34">
        <v>0</v>
      </c>
      <c r="AB9" s="583">
        <f>Fab[[#This Row],[Column19]]-Fab[[#This Row],[Column20]]</f>
        <v>0</v>
      </c>
      <c r="AC9" s="584">
        <f>IFERROR(AA9/Z9,0)</f>
        <v>0</v>
      </c>
      <c r="AD9" s="323">
        <v>0</v>
      </c>
      <c r="AE9" s="324">
        <v>0</v>
      </c>
      <c r="AF9" s="583">
        <f>Fab[[#This Row],[Column24]]-Fab[[#This Row],[Column30]]</f>
        <v>0</v>
      </c>
      <c r="AG9" s="584">
        <f>IFERROR(Fab[[#This Row],[Column30]]/Fab[[#This Row],[Column24]],0)</f>
        <v>0</v>
      </c>
      <c r="AH9" s="35">
        <f>IFERROR(AF9/AE9,0)</f>
        <v>0</v>
      </c>
      <c r="AI9" s="36"/>
    </row>
    <row r="10" spans="1:35" ht="83.5" customHeight="1" x14ac:dyDescent="0.2">
      <c r="A10" s="577">
        <v>2</v>
      </c>
      <c r="B10" s="4"/>
      <c r="C10" s="111" t="s">
        <v>121</v>
      </c>
      <c r="D10" s="4"/>
      <c r="E10" s="111"/>
      <c r="F10" s="111"/>
      <c r="G10" s="111"/>
      <c r="H10" s="127"/>
      <c r="I10" s="572">
        <v>0</v>
      </c>
      <c r="J10" s="119">
        <v>0</v>
      </c>
      <c r="K10" s="579">
        <f>Fab[[#This Row],[Column7]]-Fab[[#This Row],[Column8]]</f>
        <v>0</v>
      </c>
      <c r="L10" s="580">
        <f>IFERROR(Fab[[#This Row],[Column8]]/Fab[[#This Row],[Column7]],0)</f>
        <v>0</v>
      </c>
      <c r="M10" s="118">
        <v>0</v>
      </c>
      <c r="N10" s="119">
        <v>0</v>
      </c>
      <c r="O10" s="579">
        <f>Fab[[#This Row],[Column10]]-Fab[[#This Row],[Column11]]</f>
        <v>0</v>
      </c>
      <c r="P10" s="580">
        <f>IFERROR(Fab[[#This Row],[Column11]]/Fab[[#This Row],[Column10]],0)</f>
        <v>0</v>
      </c>
      <c r="Q10" s="561">
        <f>IFERROR(Fab[[#This Row],[Column10]]/Fab[[#This Row],[Column7]],0)</f>
        <v>0</v>
      </c>
      <c r="R10" s="118">
        <v>0</v>
      </c>
      <c r="S10" s="119">
        <v>0</v>
      </c>
      <c r="T10" s="579">
        <f>Fab[[#This Row],[Column23]]-Fab[[#This Row],[Column27]]</f>
        <v>0</v>
      </c>
      <c r="U10" s="580">
        <f>IFERROR(S12/R12,0)</f>
        <v>0</v>
      </c>
      <c r="V10" s="118">
        <v>0</v>
      </c>
      <c r="W10" s="119">
        <v>0</v>
      </c>
      <c r="X10" s="579">
        <f>Fab[[#This Row],[Column15]]-Fab[[#This Row],[Column16]]</f>
        <v>0</v>
      </c>
      <c r="Y10" s="580">
        <f>IFERROR(W12/V12,0)</f>
        <v>0</v>
      </c>
      <c r="Z10" s="121">
        <v>0</v>
      </c>
      <c r="AA10" s="122">
        <v>0</v>
      </c>
      <c r="AB10" s="585">
        <f>Fab[[#This Row],[Column19]]-Fab[[#This Row],[Column20]]</f>
        <v>0</v>
      </c>
      <c r="AC10" s="586">
        <f t="shared" ref="AC10:AC12" si="0">IFERROR(AA10/Z10,0)</f>
        <v>0</v>
      </c>
      <c r="AD10" s="124">
        <v>0</v>
      </c>
      <c r="AE10" s="125">
        <v>0</v>
      </c>
      <c r="AF10" s="585">
        <f>Fab[[#This Row],[Column24]]-Fab[[#This Row],[Column30]]</f>
        <v>0</v>
      </c>
      <c r="AG10" s="586">
        <f>IFERROR(Fab[[#This Row],[Column30]]/Fab[[#This Row],[Column24]],0)</f>
        <v>0</v>
      </c>
      <c r="AH10" s="6">
        <f>IFERROR(Fab[[#This Row],[Column24]]/Fab[[#This Row],[Column19]],0)</f>
        <v>0</v>
      </c>
      <c r="AI10" s="130"/>
    </row>
    <row r="11" spans="1:35" ht="83.5" customHeight="1" x14ac:dyDescent="0.2">
      <c r="A11" s="577">
        <v>3</v>
      </c>
      <c r="B11" s="4"/>
      <c r="C11" s="111" t="s">
        <v>121</v>
      </c>
      <c r="D11" s="4"/>
      <c r="E11" s="111"/>
      <c r="F11" s="111"/>
      <c r="G11" s="111"/>
      <c r="H11" s="127"/>
      <c r="I11" s="572">
        <v>0</v>
      </c>
      <c r="J11" s="119">
        <v>0</v>
      </c>
      <c r="K11" s="579">
        <f>Fab[[#This Row],[Column7]]-Fab[[#This Row],[Column8]]</f>
        <v>0</v>
      </c>
      <c r="L11" s="580">
        <f>IFERROR(Fab[[#This Row],[Column8]]/Fab[[#This Row],[Column7]],0)</f>
        <v>0</v>
      </c>
      <c r="M11" s="118">
        <v>0</v>
      </c>
      <c r="N11" s="119">
        <v>0</v>
      </c>
      <c r="O11" s="579">
        <f>Fab[[#This Row],[Column10]]-Fab[[#This Row],[Column11]]</f>
        <v>0</v>
      </c>
      <c r="P11" s="580">
        <f>IFERROR(Fab[[#This Row],[Column11]]/Fab[[#This Row],[Column10]],0)</f>
        <v>0</v>
      </c>
      <c r="Q11" s="561">
        <f>IFERROR(Fab[[#This Row],[Column10]]/Fab[[#This Row],[Column7]],0)</f>
        <v>0</v>
      </c>
      <c r="R11" s="118">
        <v>0</v>
      </c>
      <c r="S11" s="119">
        <v>0</v>
      </c>
      <c r="T11" s="579">
        <f>Fab[[#This Row],[Column23]]-Fab[[#This Row],[Column27]]</f>
        <v>0</v>
      </c>
      <c r="U11" s="580">
        <f>IFERROR(S11/R11,0)</f>
        <v>0</v>
      </c>
      <c r="V11" s="118">
        <v>0</v>
      </c>
      <c r="W11" s="119">
        <v>0</v>
      </c>
      <c r="X11" s="579">
        <f>Fab[[#This Row],[Column15]]-Fab[[#This Row],[Column16]]</f>
        <v>0</v>
      </c>
      <c r="Y11" s="580">
        <f>IFERROR(W11/V11,0)</f>
        <v>0</v>
      </c>
      <c r="Z11" s="121">
        <v>0</v>
      </c>
      <c r="AA11" s="122">
        <v>0</v>
      </c>
      <c r="AB11" s="585">
        <f>Fab[[#This Row],[Column19]]-Fab[[#This Row],[Column20]]</f>
        <v>0</v>
      </c>
      <c r="AC11" s="586">
        <f t="shared" si="0"/>
        <v>0</v>
      </c>
      <c r="AD11" s="124">
        <v>0</v>
      </c>
      <c r="AE11" s="125">
        <v>0</v>
      </c>
      <c r="AF11" s="585">
        <f>Fab[[#This Row],[Column24]]-Fab[[#This Row],[Column30]]</f>
        <v>0</v>
      </c>
      <c r="AG11" s="586">
        <f>IFERROR(Fab[[#This Row],[Column30]]/Fab[[#This Row],[Column24]],0)</f>
        <v>0</v>
      </c>
      <c r="AH11" s="6">
        <f>IFERROR(Fab[[#This Row],[Column24]]/Fab[[#This Row],[Column19]],0)</f>
        <v>0</v>
      </c>
      <c r="AI11" s="36"/>
    </row>
    <row r="12" spans="1:35" ht="87.5" customHeight="1" thickBot="1" x14ac:dyDescent="0.25">
      <c r="A12" s="577">
        <v>4</v>
      </c>
      <c r="B12" s="4"/>
      <c r="C12" s="111" t="s">
        <v>121</v>
      </c>
      <c r="D12" s="4"/>
      <c r="E12" s="111"/>
      <c r="F12" s="111"/>
      <c r="G12" s="111"/>
      <c r="H12" s="132"/>
      <c r="I12" s="573">
        <v>0</v>
      </c>
      <c r="J12" s="75">
        <v>0</v>
      </c>
      <c r="K12" s="581">
        <f>Fab[[#This Row],[Column7]]-Fab[[#This Row],[Column8]]</f>
        <v>0</v>
      </c>
      <c r="L12" s="582">
        <f>IFERROR(Fab[[#This Row],[Column8]]/Fab[[#This Row],[Column7]],0)</f>
        <v>0</v>
      </c>
      <c r="M12" s="137">
        <v>0</v>
      </c>
      <c r="N12" s="75">
        <v>0</v>
      </c>
      <c r="O12" s="581">
        <f>Fab[[#This Row],[Column10]]-Fab[[#This Row],[Column11]]</f>
        <v>0</v>
      </c>
      <c r="P12" s="582">
        <f>IFERROR(Fab[[#This Row],[Column11]]/Fab[[#This Row],[Column10]],0)</f>
        <v>0</v>
      </c>
      <c r="Q12" s="561">
        <f>IFERROR(Fab[[#This Row],[Column10]]/Fab[[#This Row],[Column7]],0)</f>
        <v>0</v>
      </c>
      <c r="R12" s="137">
        <v>0</v>
      </c>
      <c r="S12" s="75">
        <v>0</v>
      </c>
      <c r="T12" s="581">
        <f>Fab[[#This Row],[Column23]]-Fab[[#This Row],[Column27]]</f>
        <v>0</v>
      </c>
      <c r="U12" s="582">
        <f>IFERROR(S12/R12,0)</f>
        <v>0</v>
      </c>
      <c r="V12" s="137">
        <v>0</v>
      </c>
      <c r="W12" s="75">
        <v>0</v>
      </c>
      <c r="X12" s="581">
        <f>Fab[[#This Row],[Column15]]-Fab[[#This Row],[Column16]]</f>
        <v>0</v>
      </c>
      <c r="Y12" s="582">
        <f>IFERROR(W12/V12,0)</f>
        <v>0</v>
      </c>
      <c r="Z12" s="139">
        <v>0</v>
      </c>
      <c r="AA12" s="140">
        <v>0</v>
      </c>
      <c r="AB12" s="587">
        <f>Fab[[#This Row],[Column19]]-Fab[[#This Row],[Column20]]</f>
        <v>0</v>
      </c>
      <c r="AC12" s="588">
        <f t="shared" si="0"/>
        <v>0</v>
      </c>
      <c r="AD12" s="142">
        <v>0</v>
      </c>
      <c r="AE12" s="143">
        <v>0</v>
      </c>
      <c r="AF12" s="587">
        <f>Fab[[#This Row],[Column24]]-Fab[[#This Row],[Column30]]</f>
        <v>0</v>
      </c>
      <c r="AG12" s="588">
        <f>IFERROR(Fab[[#This Row],[Column30]]/Fab[[#This Row],[Column24]],0)</f>
        <v>0</v>
      </c>
      <c r="AH12" s="144">
        <f>IFERROR(Fab[[#This Row],[Column24]]/Fab[[#This Row],[Column19]],0)</f>
        <v>0</v>
      </c>
      <c r="AI12" s="7"/>
    </row>
    <row r="13" spans="1:35" ht="83.5" customHeight="1" thickBot="1" x14ac:dyDescent="0.25">
      <c r="A13" s="294"/>
      <c r="B13" s="261"/>
      <c r="C13" s="281"/>
      <c r="D13" s="282"/>
      <c r="E13" s="283" t="s">
        <v>70</v>
      </c>
      <c r="F13" s="284"/>
      <c r="G13" s="285"/>
      <c r="H13" s="287"/>
      <c r="I13" s="288">
        <f>SUBTOTAL(109,Fab[Column7])</f>
        <v>0</v>
      </c>
      <c r="J13" s="289">
        <f>SUBTOTAL(109,Fab[Column8])</f>
        <v>0</v>
      </c>
      <c r="K13" s="289">
        <f>SUBTOTAL(109,Fab[Column9])</f>
        <v>0</v>
      </c>
      <c r="L13" s="290">
        <f>IFERROR(Fab[[#Totals],[Column8]]/Fab[[#Totals],[Column7]],0)</f>
        <v>0</v>
      </c>
      <c r="M13" s="288">
        <f>SUBTOTAL(109,Fab[Column10])</f>
        <v>0</v>
      </c>
      <c r="N13" s="289">
        <f>SUBTOTAL(109,Fab[Column11])</f>
        <v>0</v>
      </c>
      <c r="O13" s="289">
        <f>SUBTOTAL(109,Fab[Column12])</f>
        <v>0</v>
      </c>
      <c r="P13" s="290">
        <f>IFERROR(Fab[[#Totals],[Column11]]/Fab[[#Totals],[Column10]],0)</f>
        <v>0</v>
      </c>
      <c r="Q13" s="290">
        <f>IFERROR(Fab[[#Totals],[Column10]]/Fab[[#Totals],[Column7]],0)</f>
        <v>0</v>
      </c>
      <c r="R13" s="288">
        <f>SUBTOTAL(109,Fab[Column23])</f>
        <v>0</v>
      </c>
      <c r="S13" s="281">
        <f>SUBTOTAL(109,Fab[Column27])</f>
        <v>0</v>
      </c>
      <c r="T13" s="281">
        <f>SUBTOTAL(109,Fab[Column28])</f>
        <v>0</v>
      </c>
      <c r="U13" s="290">
        <f>IFERROR(Fab[[#Totals],[Column16]]/Fab[[#Totals],[Column15]],0)</f>
        <v>0</v>
      </c>
      <c r="V13" s="288">
        <f>SUBTOTAL(109,Fab[Column15])</f>
        <v>0</v>
      </c>
      <c r="W13" s="281">
        <f>SUBTOTAL(109,Fab[Column16])</f>
        <v>0</v>
      </c>
      <c r="X13" s="281">
        <f>SUBTOTAL(109,Fab[Column17])</f>
        <v>0</v>
      </c>
      <c r="Y13" s="290">
        <f>IFERROR(Fab[[#Totals],[Column16]]/Fab[[#Totals],[Column15]],0)</f>
        <v>0</v>
      </c>
      <c r="Z13" s="291">
        <f>SUBTOTAL(109,Fab[Column19])</f>
        <v>0</v>
      </c>
      <c r="AA13" s="292">
        <f>SUBTOTAL(109,Fab[Column20])</f>
        <v>0</v>
      </c>
      <c r="AB13" s="292">
        <f>SUBTOTAL(109,Fab[Column21])</f>
        <v>0</v>
      </c>
      <c r="AC13" s="290">
        <f>IFERROR(Fab[[#Totals],[Column20]]/Fab[[#Totals],[Column19]],0)</f>
        <v>0</v>
      </c>
      <c r="AD13" s="291">
        <f>SUBTOTAL(109,Fab[Column24])</f>
        <v>0</v>
      </c>
      <c r="AE13" s="293">
        <f>SUBTOTAL(109,Fab[Column30])</f>
        <v>0</v>
      </c>
      <c r="AF13" s="562">
        <f>SUBTOTAL(109,Fab[Column29])</f>
        <v>0</v>
      </c>
      <c r="AG13" s="576">
        <f>IFERROR(Fab[[#Totals],[Column30]]/Fab[[#Totals],[Column24]],0)</f>
        <v>0</v>
      </c>
      <c r="AH13" s="574">
        <f>IFERROR(Fab[[#Totals],[Column24]]/Fab[[#Totals],[Column19]],0)</f>
        <v>0</v>
      </c>
      <c r="AI13" s="575"/>
    </row>
    <row r="14" spans="1:35" ht="18" thickBot="1" x14ac:dyDescent="0.25">
      <c r="A14" s="332" t="s">
        <v>122</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7"/>
    </row>
  </sheetData>
  <sheetProtection formatCells="0" formatRows="0" insertRows="0" deleteRows="0" sort="0" autoFilter="0" pivotTables="0"/>
  <mergeCells count="7">
    <mergeCell ref="H7:H8"/>
    <mergeCell ref="I7:K7"/>
    <mergeCell ref="A7:A8"/>
    <mergeCell ref="B7:B8"/>
    <mergeCell ref="C7:C8"/>
    <mergeCell ref="D7:F7"/>
    <mergeCell ref="G7:G8"/>
  </mergeCells>
  <dataValidations xWindow="1288" yWindow="609" count="3">
    <dataValidation type="decimal" allowBlank="1" showInputMessage="1" showErrorMessage="1" prompt="Input only numbers" sqref="AD9:AE12 Z9:AA12 V9:W12 R9:S12 I9:J12 M9:N12" xr:uid="{5A2DFD2B-12A7-4FCC-B867-5DD736C20A22}">
      <formula1>0</formula1>
      <formula2>100000000000</formula2>
    </dataValidation>
    <dataValidation allowBlank="1" showInputMessage="1" showErrorMessage="1" prompt="Please fill in the cell with text" sqref="C9:C12 E9:G12" xr:uid="{D5D0355F-382C-4CB3-AC0D-A3072198108C}"/>
    <dataValidation type="custom" allowBlank="1" showInputMessage="1" showErrorMessage="1" errorTitle="NOTICE!" error="Please don't input any value in the cell, there is formula " promptTitle="NOTICE!" prompt="Please don't input any value in the cell, there is formula " sqref="AF9:AG12 AB9:AC12 X9:Y12 T9:U12 O9:Q12 K9:L12" xr:uid="{C057A249-336A-4FFB-BC8A-503D87258AF7}">
      <formula1>"Please don't input any value in the cell, there is formula "</formula1>
    </dataValidation>
  </dataValidations>
  <pageMargins left="0.7" right="0.7" top="0.75" bottom="0.75" header="0.3" footer="0.3"/>
  <pageSetup paperSize="9" orientation="portrait" verticalDpi="4294967295" r:id="rId1"/>
  <colBreaks count="2" manualBreakCount="2">
    <brk id="13" min="2" max="13" man="1"/>
    <brk id="18" min="2" max="13" man="1"/>
  </colBreak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BE284-6AD1-430E-B4C6-84670F80CE16}">
  <dimension ref="A1:AI14"/>
  <sheetViews>
    <sheetView view="pageBreakPreview" topLeftCell="E1" zoomScale="45" zoomScaleNormal="55" zoomScaleSheetLayoutView="45" workbookViewId="0">
      <selection activeCell="AE11" sqref="AE11"/>
    </sheetView>
  </sheetViews>
  <sheetFormatPr baseColWidth="10" defaultColWidth="8.6640625" defaultRowHeight="17" x14ac:dyDescent="0.2"/>
  <cols>
    <col min="1" max="1" width="13.5" style="2" customWidth="1"/>
    <col min="2" max="2" width="32.33203125" style="2" customWidth="1"/>
    <col min="3" max="3" width="33.5" style="2" customWidth="1"/>
    <col min="4" max="4" width="29.5" style="2" customWidth="1"/>
    <col min="5" max="6" width="27.33203125" style="2" customWidth="1"/>
    <col min="7" max="8" width="36.1640625" style="2" customWidth="1"/>
    <col min="9" max="12" width="14.5" style="2" customWidth="1"/>
    <col min="13" max="14" width="13.83203125" style="2" customWidth="1"/>
    <col min="15" max="15" width="13.1640625" style="2" customWidth="1"/>
    <col min="16" max="21" width="14.83203125" style="2" customWidth="1"/>
    <col min="22" max="22" width="20.33203125" style="2" customWidth="1"/>
    <col min="23" max="25" width="14.83203125" style="2" customWidth="1"/>
    <col min="26" max="28" width="15.1640625" style="2" customWidth="1"/>
    <col min="29" max="29" width="14.83203125" style="2" customWidth="1"/>
    <col min="30" max="30" width="33.5" style="2" customWidth="1"/>
    <col min="31" max="33" width="21" style="2" customWidth="1"/>
    <col min="34" max="34" width="27" style="2" customWidth="1"/>
    <col min="35" max="35" width="14.83203125" style="2" customWidth="1"/>
    <col min="36" max="16384" width="8.6640625" style="102"/>
  </cols>
  <sheetData>
    <row r="1" spans="1:35" ht="18" thickBot="1" x14ac:dyDescent="0.25">
      <c r="B1" s="3" t="s">
        <v>123</v>
      </c>
    </row>
    <row r="2" spans="1:35" x14ac:dyDescent="0.2">
      <c r="B2" s="26" t="s">
        <v>40</v>
      </c>
      <c r="C2" s="238">
        <f>'#1'!C2</f>
        <v>0</v>
      </c>
      <c r="D2" s="25" t="s">
        <v>41</v>
      </c>
      <c r="E2" s="239">
        <f>'#2'!E2</f>
        <v>0</v>
      </c>
      <c r="F2" s="105"/>
    </row>
    <row r="3" spans="1:35" x14ac:dyDescent="0.2">
      <c r="B3" s="106" t="s">
        <v>42</v>
      </c>
      <c r="C3" s="240">
        <f>'#1'!C3</f>
        <v>0</v>
      </c>
      <c r="D3" s="105" t="s">
        <v>43</v>
      </c>
      <c r="E3" s="241">
        <f>'#2'!E3</f>
        <v>0</v>
      </c>
      <c r="F3" s="105"/>
    </row>
    <row r="4" spans="1:35" ht="35" thickBot="1" x14ac:dyDescent="0.25">
      <c r="B4" s="13" t="s">
        <v>44</v>
      </c>
      <c r="C4" s="108">
        <f>'#1'!C4</f>
        <v>0</v>
      </c>
      <c r="D4" s="109" t="s">
        <v>45</v>
      </c>
      <c r="E4" s="242">
        <f>'#2'!E4</f>
        <v>0</v>
      </c>
      <c r="F4" s="15"/>
    </row>
    <row r="6" spans="1:35" s="2" customFormat="1" ht="83.5" customHeight="1" thickBot="1" x14ac:dyDescent="0.25">
      <c r="A6" s="526" t="s">
        <v>125</v>
      </c>
      <c r="B6" s="527"/>
      <c r="C6" s="527"/>
      <c r="D6" s="527"/>
      <c r="E6" s="527"/>
      <c r="F6" s="527"/>
      <c r="G6" s="527"/>
      <c r="H6" s="527"/>
      <c r="I6" s="527"/>
      <c r="J6" s="527"/>
      <c r="K6" s="527"/>
      <c r="L6" s="527"/>
      <c r="M6" s="527"/>
      <c r="N6" s="527"/>
      <c r="O6" s="527"/>
      <c r="P6" s="527"/>
      <c r="Q6" s="527"/>
      <c r="R6" s="527"/>
      <c r="S6" s="527"/>
      <c r="T6" s="527"/>
      <c r="U6" s="527"/>
      <c r="V6" s="527"/>
      <c r="W6" s="527"/>
      <c r="X6" s="527"/>
      <c r="Y6" s="527"/>
      <c r="Z6" s="527"/>
      <c r="AA6" s="527"/>
      <c r="AB6" s="527"/>
      <c r="AC6" s="527"/>
      <c r="AD6" s="527"/>
      <c r="AE6" s="527"/>
      <c r="AF6" s="527"/>
      <c r="AG6" s="527"/>
      <c r="AH6" s="527"/>
      <c r="AI6" s="527"/>
    </row>
    <row r="7" spans="1:35" s="2" customFormat="1" ht="83.5" customHeight="1" thickBot="1" x14ac:dyDescent="0.25">
      <c r="A7" s="623" t="s">
        <v>50</v>
      </c>
      <c r="B7" s="625" t="s">
        <v>116</v>
      </c>
      <c r="C7" s="627" t="s">
        <v>52</v>
      </c>
      <c r="D7" s="629" t="s">
        <v>53</v>
      </c>
      <c r="E7" s="630"/>
      <c r="F7" s="631"/>
      <c r="G7" s="632" t="s">
        <v>80</v>
      </c>
      <c r="H7" s="664" t="s">
        <v>81</v>
      </c>
      <c r="I7" s="659" t="s">
        <v>126</v>
      </c>
      <c r="J7" s="666"/>
      <c r="K7" s="666"/>
      <c r="L7" s="667"/>
      <c r="M7" s="508" t="s">
        <v>127</v>
      </c>
      <c r="N7" s="509"/>
      <c r="O7" s="509"/>
      <c r="P7" s="510"/>
      <c r="Q7" s="314" t="s">
        <v>150</v>
      </c>
      <c r="R7" s="668" t="s">
        <v>109</v>
      </c>
      <c r="S7" s="666"/>
      <c r="T7" s="666"/>
      <c r="U7" s="667"/>
      <c r="V7" s="505" t="s">
        <v>110</v>
      </c>
      <c r="W7" s="506"/>
      <c r="X7" s="506"/>
      <c r="Y7" s="507"/>
      <c r="Z7" s="636" t="s">
        <v>57</v>
      </c>
      <c r="AA7" s="637"/>
      <c r="AB7" s="637"/>
      <c r="AC7" s="638"/>
      <c r="AD7" s="661" t="s">
        <v>119</v>
      </c>
      <c r="AE7" s="662"/>
      <c r="AF7" s="662"/>
      <c r="AG7" s="663"/>
      <c r="AH7" s="314" t="s">
        <v>151</v>
      </c>
      <c r="AI7" s="315" t="s">
        <v>120</v>
      </c>
    </row>
    <row r="8" spans="1:35" s="2" customFormat="1" ht="83.5" customHeight="1" thickBot="1" x14ac:dyDescent="0.25">
      <c r="A8" s="624"/>
      <c r="B8" s="626"/>
      <c r="C8" s="628"/>
      <c r="D8" s="201" t="s">
        <v>59</v>
      </c>
      <c r="E8" s="202" t="s">
        <v>86</v>
      </c>
      <c r="F8" s="203" t="s">
        <v>87</v>
      </c>
      <c r="G8" s="633"/>
      <c r="H8" s="665"/>
      <c r="I8" s="199" t="s">
        <v>64</v>
      </c>
      <c r="J8" s="204" t="s">
        <v>88</v>
      </c>
      <c r="K8" s="204" t="s">
        <v>89</v>
      </c>
      <c r="L8" s="200" t="s">
        <v>47</v>
      </c>
      <c r="M8" s="199" t="s">
        <v>64</v>
      </c>
      <c r="N8" s="204" t="s">
        <v>88</v>
      </c>
      <c r="O8" s="204" t="s">
        <v>89</v>
      </c>
      <c r="P8" s="200" t="s">
        <v>47</v>
      </c>
      <c r="Q8" s="503" t="s">
        <v>96</v>
      </c>
      <c r="R8" s="199" t="s">
        <v>64</v>
      </c>
      <c r="S8" s="204" t="s">
        <v>88</v>
      </c>
      <c r="T8" s="204" t="s">
        <v>89</v>
      </c>
      <c r="U8" s="200" t="s">
        <v>47</v>
      </c>
      <c r="V8" s="199" t="s">
        <v>64</v>
      </c>
      <c r="W8" s="204" t="s">
        <v>88</v>
      </c>
      <c r="X8" s="204" t="s">
        <v>89</v>
      </c>
      <c r="Y8" s="200" t="s">
        <v>47</v>
      </c>
      <c r="Z8" s="199" t="s">
        <v>90</v>
      </c>
      <c r="AA8" s="204" t="s">
        <v>91</v>
      </c>
      <c r="AB8" s="204" t="s">
        <v>92</v>
      </c>
      <c r="AC8" s="200" t="s">
        <v>47</v>
      </c>
      <c r="AD8" s="199" t="s">
        <v>90</v>
      </c>
      <c r="AE8" s="205" t="s">
        <v>93</v>
      </c>
      <c r="AF8" s="204" t="s">
        <v>94</v>
      </c>
      <c r="AG8" s="204" t="s">
        <v>95</v>
      </c>
      <c r="AH8" s="316" t="s">
        <v>96</v>
      </c>
      <c r="AI8" s="200" t="s">
        <v>97</v>
      </c>
    </row>
    <row r="9" spans="1:35" ht="83.5" customHeight="1" x14ac:dyDescent="0.2">
      <c r="A9" s="244">
        <v>1</v>
      </c>
      <c r="B9" s="62"/>
      <c r="C9" s="111" t="s">
        <v>121</v>
      </c>
      <c r="D9" s="111"/>
      <c r="E9" s="111"/>
      <c r="F9" s="111"/>
      <c r="G9" s="112"/>
      <c r="H9" s="113"/>
      <c r="I9" s="118">
        <v>0</v>
      </c>
      <c r="J9" s="119">
        <v>0</v>
      </c>
      <c r="K9" s="120">
        <f>Mat[[#This Row],[Column7]]-Mat[[#This Row],[Column8]]</f>
        <v>0</v>
      </c>
      <c r="L9" s="81">
        <f>IFERROR(J9/I9,0)</f>
        <v>0</v>
      </c>
      <c r="M9" s="118">
        <v>0</v>
      </c>
      <c r="N9" s="119">
        <v>0</v>
      </c>
      <c r="O9" s="120">
        <f>Mat[[#This Row],[Column10]]-Mat[[#This Row],[Column11]]</f>
        <v>0</v>
      </c>
      <c r="P9" s="81">
        <f>IFERROR(N9/M9,0)</f>
        <v>0</v>
      </c>
      <c r="Q9" s="81">
        <f>IFERROR(Mat[[#This Row],[Column10]]/Mat[[#This Row],[Column7]],0)</f>
        <v>0</v>
      </c>
      <c r="R9" s="118">
        <v>0</v>
      </c>
      <c r="S9" s="119">
        <v>0</v>
      </c>
      <c r="T9" s="120">
        <f>Mat[[#This Row],[Column23]]-Mat[[#This Row],[Column27]]</f>
        <v>0</v>
      </c>
      <c r="U9" s="81">
        <f>IFERROR(Mat[[#This Row],[Column27]]/Mat[[#This Row],[Column23]],0)</f>
        <v>0</v>
      </c>
      <c r="V9" s="118">
        <v>0</v>
      </c>
      <c r="W9" s="119">
        <v>0</v>
      </c>
      <c r="X9" s="120">
        <f>Mat[[#This Row],[Column15]]-Mat[[#This Row],[Column16]]</f>
        <v>0</v>
      </c>
      <c r="Y9" s="81">
        <f>IFERROR(W9/V9,0)</f>
        <v>0</v>
      </c>
      <c r="Z9" s="121">
        <v>0</v>
      </c>
      <c r="AA9" s="122">
        <v>0</v>
      </c>
      <c r="AB9" s="123">
        <f>Mat[[#This Row],[Column19]]-Mat[[#This Row],[Column20]]</f>
        <v>0</v>
      </c>
      <c r="AC9" s="82">
        <f>IFERROR(AA9/Z9,0)</f>
        <v>0</v>
      </c>
      <c r="AD9" s="124">
        <v>0</v>
      </c>
      <c r="AE9" s="125">
        <v>0</v>
      </c>
      <c r="AF9" s="123">
        <f>Mat[[#This Row],[Column24]]-Mat[[#This Row],[Column30]]</f>
        <v>0</v>
      </c>
      <c r="AG9" s="82">
        <f>IFERROR(Mat[[#This Row],[Column30]]/Mat[[#This Row],[Column24]],0)</f>
        <v>0</v>
      </c>
      <c r="AH9" s="6">
        <f>IFERROR(Mat[[#This Row],[Column24]]/Mat[[#This Row],[Column19]],0)</f>
        <v>0</v>
      </c>
      <c r="AI9" s="36"/>
    </row>
    <row r="10" spans="1:35" ht="83.5" customHeight="1" x14ac:dyDescent="0.2">
      <c r="A10" s="4">
        <v>2</v>
      </c>
      <c r="B10" s="62"/>
      <c r="C10" s="111" t="s">
        <v>121</v>
      </c>
      <c r="D10" s="111"/>
      <c r="E10" s="111"/>
      <c r="F10" s="111"/>
      <c r="G10" s="126"/>
      <c r="H10" s="127"/>
      <c r="I10" s="118">
        <v>0</v>
      </c>
      <c r="J10" s="119">
        <v>0</v>
      </c>
      <c r="K10" s="120">
        <f>Mat[[#This Row],[Column7]]-Mat[[#This Row],[Column8]]</f>
        <v>0</v>
      </c>
      <c r="L10" s="81">
        <f t="shared" ref="L10:L12" si="0">IFERROR(J10/I10,0)</f>
        <v>0</v>
      </c>
      <c r="M10" s="118">
        <v>0</v>
      </c>
      <c r="N10" s="119">
        <v>0</v>
      </c>
      <c r="O10" s="120">
        <f>Mat[[#This Row],[Column10]]-Mat[[#This Row],[Column11]]</f>
        <v>0</v>
      </c>
      <c r="P10" s="81">
        <f t="shared" ref="P10:P12" si="1">IFERROR(N10/M10,0)</f>
        <v>0</v>
      </c>
      <c r="Q10" s="81">
        <f>IFERROR(Mat[[#This Row],[Column10]]/Mat[[#This Row],[Column7]],0)</f>
        <v>0</v>
      </c>
      <c r="R10" s="118">
        <v>0</v>
      </c>
      <c r="S10" s="119">
        <v>0</v>
      </c>
      <c r="T10" s="120">
        <f>Mat[[#This Row],[Column23]]-Mat[[#This Row],[Column27]]</f>
        <v>0</v>
      </c>
      <c r="U10" s="81">
        <f>IFERROR(Mat[[#This Row],[Column27]]/Mat[[#This Row],[Column23]],0)</f>
        <v>0</v>
      </c>
      <c r="V10" s="118">
        <v>0</v>
      </c>
      <c r="W10" s="119">
        <v>0</v>
      </c>
      <c r="X10" s="120">
        <f>Mat[[#This Row],[Column15]]-Mat[[#This Row],[Column16]]</f>
        <v>0</v>
      </c>
      <c r="Y10" s="81">
        <f>IFERROR(W12/V12,0)</f>
        <v>0</v>
      </c>
      <c r="Z10" s="121">
        <v>0</v>
      </c>
      <c r="AA10" s="122">
        <v>0</v>
      </c>
      <c r="AB10" s="123">
        <f>Mat[[#This Row],[Column19]]-Mat[[#This Row],[Column20]]</f>
        <v>0</v>
      </c>
      <c r="AC10" s="82">
        <f t="shared" ref="AC10:AC12" si="2">IFERROR(AA10/Z10,0)</f>
        <v>0</v>
      </c>
      <c r="AD10" s="124">
        <v>0</v>
      </c>
      <c r="AE10" s="125">
        <v>0</v>
      </c>
      <c r="AF10" s="123">
        <f>Mat[[#This Row],[Column24]]-Mat[[#This Row],[Column30]]</f>
        <v>0</v>
      </c>
      <c r="AG10" s="82">
        <f>IFERROR(Mat[[#This Row],[Column30]]/Mat[[#This Row],[Column24]],0)</f>
        <v>0</v>
      </c>
      <c r="AH10" s="6">
        <f>IFERROR(Mat[[#This Row],[Column24]]/Mat[[#This Row],[Column19]],0)</f>
        <v>0</v>
      </c>
      <c r="AI10" s="130"/>
    </row>
    <row r="11" spans="1:35" ht="83.5" customHeight="1" x14ac:dyDescent="0.2">
      <c r="A11" s="4">
        <v>3</v>
      </c>
      <c r="B11" s="62"/>
      <c r="C11" s="111" t="s">
        <v>121</v>
      </c>
      <c r="D11" s="111"/>
      <c r="E11" s="111"/>
      <c r="F11" s="111"/>
      <c r="G11" s="126"/>
      <c r="H11" s="127"/>
      <c r="I11" s="118">
        <v>0</v>
      </c>
      <c r="J11" s="119">
        <v>0</v>
      </c>
      <c r="K11" s="120">
        <f>Mat[[#This Row],[Column7]]-Mat[[#This Row],[Column8]]</f>
        <v>0</v>
      </c>
      <c r="L11" s="81">
        <f t="shared" si="0"/>
        <v>0</v>
      </c>
      <c r="M11" s="118">
        <v>0</v>
      </c>
      <c r="N11" s="119">
        <v>0</v>
      </c>
      <c r="O11" s="120">
        <f>Mat[[#This Row],[Column10]]-Mat[[#This Row],[Column11]]</f>
        <v>0</v>
      </c>
      <c r="P11" s="81">
        <f t="shared" si="1"/>
        <v>0</v>
      </c>
      <c r="Q11" s="81">
        <f>IFERROR(Mat[[#This Row],[Column10]]/Mat[[#This Row],[Column7]],0)</f>
        <v>0</v>
      </c>
      <c r="R11" s="118">
        <v>0</v>
      </c>
      <c r="S11" s="119">
        <v>0</v>
      </c>
      <c r="T11" s="120">
        <f>Mat[[#This Row],[Column23]]-Mat[[#This Row],[Column27]]</f>
        <v>0</v>
      </c>
      <c r="U11" s="81">
        <f>IFERROR(Mat[[#This Row],[Column27]]/Mat[[#This Row],[Column23]],0)</f>
        <v>0</v>
      </c>
      <c r="V11" s="118">
        <v>0</v>
      </c>
      <c r="W11" s="119">
        <v>0</v>
      </c>
      <c r="X11" s="120">
        <f>Mat[[#This Row],[Column15]]-Mat[[#This Row],[Column16]]</f>
        <v>0</v>
      </c>
      <c r="Y11" s="81">
        <f>IFERROR(W11/V11,0)</f>
        <v>0</v>
      </c>
      <c r="Z11" s="121">
        <v>0</v>
      </c>
      <c r="AA11" s="122">
        <v>0</v>
      </c>
      <c r="AB11" s="123">
        <f>Mat[[#This Row],[Column19]]-Mat[[#This Row],[Column20]]</f>
        <v>0</v>
      </c>
      <c r="AC11" s="82">
        <f t="shared" si="2"/>
        <v>0</v>
      </c>
      <c r="AD11" s="124">
        <v>0</v>
      </c>
      <c r="AE11" s="125">
        <v>0</v>
      </c>
      <c r="AF11" s="123">
        <f>Mat[[#This Row],[Column24]]-Mat[[#This Row],[Column30]]</f>
        <v>0</v>
      </c>
      <c r="AG11" s="82">
        <f>IFERROR(Mat[[#This Row],[Column30]]/Mat[[#This Row],[Column24]],0)</f>
        <v>0</v>
      </c>
      <c r="AH11" s="6">
        <f>IFERROR(Mat[[#This Row],[Column24]]/Mat[[#This Row],[Column19]],0)</f>
        <v>0</v>
      </c>
      <c r="AI11" s="36"/>
    </row>
    <row r="12" spans="1:35" ht="73" thickBot="1" x14ac:dyDescent="0.25">
      <c r="A12" s="4">
        <v>4</v>
      </c>
      <c r="B12" s="62"/>
      <c r="C12" s="111" t="s">
        <v>121</v>
      </c>
      <c r="D12" s="111"/>
      <c r="E12" s="111"/>
      <c r="F12" s="111"/>
      <c r="G12" s="131"/>
      <c r="H12" s="132"/>
      <c r="I12" s="137">
        <v>0</v>
      </c>
      <c r="J12" s="75">
        <v>0</v>
      </c>
      <c r="K12" s="138">
        <f>Mat[[#This Row],[Column7]]-Mat[[#This Row],[Column8]]</f>
        <v>0</v>
      </c>
      <c r="L12" s="83">
        <f t="shared" si="0"/>
        <v>0</v>
      </c>
      <c r="M12" s="137">
        <v>0</v>
      </c>
      <c r="N12" s="75">
        <v>0</v>
      </c>
      <c r="O12" s="138">
        <f>Mat[[#This Row],[Column10]]-Mat[[#This Row],[Column11]]</f>
        <v>0</v>
      </c>
      <c r="P12" s="83">
        <f t="shared" si="1"/>
        <v>0</v>
      </c>
      <c r="Q12" s="83">
        <f>IFERROR(Mat[[#This Row],[Column10]]/Mat[[#This Row],[Column7]],0)</f>
        <v>0</v>
      </c>
      <c r="R12" s="137">
        <v>0</v>
      </c>
      <c r="S12" s="75">
        <v>0</v>
      </c>
      <c r="T12" s="138">
        <f>Mat[[#This Row],[Column23]]-Mat[[#This Row],[Column27]]</f>
        <v>0</v>
      </c>
      <c r="U12" s="83">
        <f>IFERROR(Mat[[#This Row],[Column27]]/Mat[[#This Row],[Column23]],0)</f>
        <v>0</v>
      </c>
      <c r="V12" s="137">
        <v>0</v>
      </c>
      <c r="W12" s="75">
        <v>0</v>
      </c>
      <c r="X12" s="138">
        <f>Mat[[#This Row],[Column15]]-Mat[[#This Row],[Column16]]</f>
        <v>0</v>
      </c>
      <c r="Y12" s="83">
        <f>IFERROR(W12/V12,0)</f>
        <v>0</v>
      </c>
      <c r="Z12" s="139">
        <v>0</v>
      </c>
      <c r="AA12" s="140">
        <v>0</v>
      </c>
      <c r="AB12" s="141">
        <f>Mat[[#This Row],[Column19]]-Mat[[#This Row],[Column20]]</f>
        <v>0</v>
      </c>
      <c r="AC12" s="84">
        <f t="shared" si="2"/>
        <v>0</v>
      </c>
      <c r="AD12" s="142">
        <v>0</v>
      </c>
      <c r="AE12" s="143">
        <v>0</v>
      </c>
      <c r="AF12" s="141">
        <f>Mat[[#This Row],[Column24]]-Mat[[#This Row],[Column30]]</f>
        <v>0</v>
      </c>
      <c r="AG12" s="84">
        <f>IFERROR(Mat[[#This Row],[Column30]]/Mat[[#This Row],[Column24]],0)</f>
        <v>0</v>
      </c>
      <c r="AH12" s="144">
        <f>IFERROR(Mat[[#This Row],[Column24]]/Mat[[#This Row],[Column19]],0)</f>
        <v>0</v>
      </c>
      <c r="AI12" s="85"/>
    </row>
    <row r="13" spans="1:35" ht="83.5" customHeight="1" thickBot="1" x14ac:dyDescent="0.25">
      <c r="A13" s="261"/>
      <c r="B13" s="281"/>
      <c r="C13" s="282"/>
      <c r="D13" s="283" t="s">
        <v>70</v>
      </c>
      <c r="E13" s="284"/>
      <c r="F13" s="285"/>
      <c r="G13" s="286"/>
      <c r="H13" s="287"/>
      <c r="I13" s="288">
        <f>SUBTOTAL(109,Mat[Column7])</f>
        <v>0</v>
      </c>
      <c r="J13" s="289">
        <f>SUBTOTAL(109,Mat[Column8])</f>
        <v>0</v>
      </c>
      <c r="K13" s="289">
        <f>SUBTOTAL(109,Mat[Column9])</f>
        <v>0</v>
      </c>
      <c r="L13" s="290">
        <f>IFERROR(Mat[[#Totals],[Column8]]/Mat[[#Totals],[Column7]],0)</f>
        <v>0</v>
      </c>
      <c r="M13" s="288">
        <f>SUBTOTAL(109,Mat[Column10])</f>
        <v>0</v>
      </c>
      <c r="N13" s="289">
        <f>SUBTOTAL(109,Mat[Column11])</f>
        <v>0</v>
      </c>
      <c r="O13" s="289">
        <f>SUBTOTAL(109,Mat[Column12])</f>
        <v>0</v>
      </c>
      <c r="P13" s="290">
        <f>IFERROR(Mat[[#Totals],[Column11]]/Mat[[#Totals],[Column10]],0)</f>
        <v>0</v>
      </c>
      <c r="Q13" s="290">
        <f>IFERROR(Mat[[#Totals],[Column10]]/Mat[[#Totals],[Column7]],0)</f>
        <v>0</v>
      </c>
      <c r="R13" s="288">
        <f>SUBTOTAL(109,Mat[Column23])</f>
        <v>0</v>
      </c>
      <c r="S13" s="281">
        <f>SUBTOTAL(109,Mat[Column27])</f>
        <v>0</v>
      </c>
      <c r="T13" s="281">
        <f>SUBTOTAL(109,Mat[Column28])</f>
        <v>0</v>
      </c>
      <c r="U13" s="290">
        <f>IFERROR(Mat[[#Totals],[Column27]]/Mat[[#Totals],[Column23]],0)</f>
        <v>0</v>
      </c>
      <c r="V13" s="288">
        <f>SUBTOTAL(109,Mat[Column15])</f>
        <v>0</v>
      </c>
      <c r="W13" s="281">
        <f>SUBTOTAL(109,Mat[Column16])</f>
        <v>0</v>
      </c>
      <c r="X13" s="281">
        <f>SUBTOTAL(109,Mat[Column17])</f>
        <v>0</v>
      </c>
      <c r="Y13" s="290">
        <f>IFERROR(Mat[[#Totals],[Column16]]/Mat[[#Totals],[Column15]],0)</f>
        <v>0</v>
      </c>
      <c r="Z13" s="291">
        <f>SUBTOTAL(109,Mat[Column19])</f>
        <v>0</v>
      </c>
      <c r="AA13" s="292">
        <f>SUBTOTAL(109,Mat[Column20])</f>
        <v>0</v>
      </c>
      <c r="AB13" s="292">
        <f>SUBTOTAL(109,Mat[Column21])</f>
        <v>0</v>
      </c>
      <c r="AC13" s="290">
        <f>IFERROR(Mat[[#Totals],[Column20]]/Mat[[#Totals],[Column19]],0)</f>
        <v>0</v>
      </c>
      <c r="AD13" s="306">
        <f>SUBTOTAL(109,Mat[Column24])</f>
        <v>0</v>
      </c>
      <c r="AE13" s="307">
        <f>SUBTOTAL(109,Mat[Column30])</f>
        <v>0</v>
      </c>
      <c r="AF13" s="308">
        <f>SUBTOTAL(109,Mat[Column29])</f>
        <v>0</v>
      </c>
      <c r="AG13" s="277">
        <f>IFERROR(Mat[[#Totals],[Column30]]/Mat[[#Totals],[Column24]],0)</f>
        <v>0</v>
      </c>
      <c r="AH13" s="309">
        <f>IFERROR(Mat[[#Totals],[Column24]]/Mat[[#Totals],[Column19]],0)</f>
        <v>0</v>
      </c>
      <c r="AI13" s="310"/>
    </row>
    <row r="14" spans="1:35" x14ac:dyDescent="0.2">
      <c r="A14" s="194" t="s">
        <v>122</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sheetData>
  <sheetProtection formatCells="0" formatRows="0" insertRows="0" deleteRows="0" sort="0" autoFilter="0" pivotTables="0"/>
  <mergeCells count="10">
    <mergeCell ref="AD7:AG7"/>
    <mergeCell ref="Z7:AC7"/>
    <mergeCell ref="A7:A8"/>
    <mergeCell ref="B7:B8"/>
    <mergeCell ref="C7:C8"/>
    <mergeCell ref="D7:F7"/>
    <mergeCell ref="G7:G8"/>
    <mergeCell ref="H7:H8"/>
    <mergeCell ref="I7:L7"/>
    <mergeCell ref="R7:U7"/>
  </mergeCells>
  <dataValidations count="3">
    <dataValidation allowBlank="1" showInputMessage="1" showErrorMessage="1" prompt="Please fill in the cell with text" sqref="B9:F12" xr:uid="{A39BB05F-C32A-4CD1-9186-D85272E747EC}"/>
    <dataValidation type="decimal" allowBlank="1" showInputMessage="1" showErrorMessage="1" errorTitle="NOTICE!" error="Please dont input any value here, there's formula." prompt="Input only numbers" sqref="I9:J12 M9:N12 R9:S12 V9:W12 Z9:AA12 AD9:AE12" xr:uid="{C3F6C676-D01C-4653-B29C-BC4EC0F7A4CE}">
      <formula1>0</formula1>
      <formula2>100000000000</formula2>
    </dataValidation>
    <dataValidation type="custom" allowBlank="1" showInputMessage="1" showErrorMessage="1" errorTitle="NOTICE!" error="Please don't input any value in this cell, there is formula" promptTitle="NOTICE!" prompt="Please don't input any value in this cell, there is formula" sqref="K9:L12 O9:Q12 T9:U12 X9:Y12 AB9:AC12 AF9:AG12" xr:uid="{07D5437F-64DA-4922-9B8E-C180EAEEE6EB}">
      <formula1>"Please don't input any value in this cell, there is formula"</formula1>
    </dataValidation>
  </dataValidations>
  <pageMargins left="0.7" right="0.7" top="0.75" bottom="0.75" header="0.3" footer="0.3"/>
  <pageSetup paperSize="9" orientation="portrait" verticalDpi="4294967295"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11D08-AAF9-4176-9650-DEE3DA0FCD6B}">
  <dimension ref="A1:AI14"/>
  <sheetViews>
    <sheetView view="pageBreakPreview" topLeftCell="A6" zoomScale="40" zoomScaleNormal="55" zoomScaleSheetLayoutView="40" workbookViewId="0">
      <selection activeCell="V9" sqref="V9"/>
    </sheetView>
  </sheetViews>
  <sheetFormatPr baseColWidth="10" defaultColWidth="8.6640625" defaultRowHeight="17" x14ac:dyDescent="0.2"/>
  <cols>
    <col min="1" max="1" width="13.5" style="2" customWidth="1"/>
    <col min="2" max="2" width="32.33203125" style="2" customWidth="1"/>
    <col min="3" max="3" width="33.5" style="2" customWidth="1"/>
    <col min="4" max="4" width="29.5" style="2" customWidth="1"/>
    <col min="5" max="6" width="27.33203125" style="2" customWidth="1"/>
    <col min="7" max="8" width="36.1640625" style="2" customWidth="1"/>
    <col min="9" max="12" width="14.5" style="2" customWidth="1"/>
    <col min="13" max="21" width="14.83203125" style="2" customWidth="1"/>
    <col min="22" max="22" width="20.33203125" style="2" customWidth="1"/>
    <col min="23" max="25" width="14.83203125" style="2" customWidth="1"/>
    <col min="26" max="28" width="15.1640625" style="2" customWidth="1"/>
    <col min="29" max="29" width="14.83203125" style="2" customWidth="1"/>
    <col min="30" max="30" width="33.5" style="2" customWidth="1"/>
    <col min="31" max="33" width="21" style="2" customWidth="1"/>
    <col min="34" max="34" width="27" style="2" customWidth="1"/>
    <col min="35" max="35" width="14.83203125" style="2" customWidth="1"/>
    <col min="36" max="16384" width="8.6640625" style="102"/>
  </cols>
  <sheetData>
    <row r="1" spans="1:35" ht="18" hidden="1" thickBot="1" x14ac:dyDescent="0.25">
      <c r="B1" s="3" t="s">
        <v>123</v>
      </c>
    </row>
    <row r="2" spans="1:35" hidden="1" x14ac:dyDescent="0.2">
      <c r="B2" s="26" t="s">
        <v>40</v>
      </c>
      <c r="C2" s="238">
        <f>'#1'!C2</f>
        <v>0</v>
      </c>
      <c r="D2" s="25" t="s">
        <v>41</v>
      </c>
      <c r="E2" s="239">
        <f>'#2'!E2</f>
        <v>0</v>
      </c>
      <c r="F2" s="105"/>
    </row>
    <row r="3" spans="1:35" hidden="1" x14ac:dyDescent="0.2">
      <c r="B3" s="106" t="s">
        <v>42</v>
      </c>
      <c r="C3" s="240">
        <f>'#1'!C3</f>
        <v>0</v>
      </c>
      <c r="D3" s="105" t="s">
        <v>43</v>
      </c>
      <c r="E3" s="241">
        <f>'#2'!E3</f>
        <v>0</v>
      </c>
      <c r="F3" s="105"/>
    </row>
    <row r="4" spans="1:35" ht="35" hidden="1" thickBot="1" x14ac:dyDescent="0.25">
      <c r="B4" s="13" t="s">
        <v>44</v>
      </c>
      <c r="C4" s="108">
        <f>'#1'!C4</f>
        <v>0</v>
      </c>
      <c r="D4" s="109" t="s">
        <v>45</v>
      </c>
      <c r="E4" s="242">
        <f>'#2'!E4</f>
        <v>0</v>
      </c>
      <c r="F4" s="15"/>
    </row>
    <row r="5" spans="1:35" ht="18" hidden="1" thickBot="1" x14ac:dyDescent="0.25"/>
    <row r="6" spans="1:35" s="2" customFormat="1" ht="83.5" customHeight="1" thickBot="1" x14ac:dyDescent="0.25">
      <c r="A6" s="528" t="s">
        <v>128</v>
      </c>
      <c r="B6" s="529"/>
      <c r="C6" s="529"/>
      <c r="D6" s="529"/>
      <c r="E6" s="529"/>
      <c r="F6" s="529"/>
      <c r="G6" s="529"/>
      <c r="H6" s="529"/>
      <c r="I6" s="529"/>
      <c r="J6" s="529"/>
      <c r="K6" s="529"/>
      <c r="L6" s="529"/>
      <c r="M6" s="529"/>
      <c r="N6" s="529"/>
      <c r="O6" s="529"/>
      <c r="P6" s="529"/>
      <c r="Q6" s="529"/>
      <c r="R6" s="529"/>
      <c r="S6" s="529"/>
      <c r="T6" s="529"/>
      <c r="U6" s="529"/>
      <c r="V6" s="529"/>
      <c r="W6" s="529"/>
      <c r="X6" s="529"/>
      <c r="Y6" s="529"/>
      <c r="Z6" s="529"/>
      <c r="AA6" s="529"/>
      <c r="AB6" s="529"/>
      <c r="AC6" s="529"/>
      <c r="AD6" s="529"/>
      <c r="AE6" s="529"/>
      <c r="AF6" s="529"/>
      <c r="AG6" s="529"/>
      <c r="AH6" s="529"/>
      <c r="AI6" s="530"/>
    </row>
    <row r="7" spans="1:35" s="2" customFormat="1" ht="83.5" customHeight="1" thickBot="1" x14ac:dyDescent="0.25">
      <c r="A7" s="671" t="s">
        <v>50</v>
      </c>
      <c r="B7" s="672" t="s">
        <v>116</v>
      </c>
      <c r="C7" s="674" t="s">
        <v>52</v>
      </c>
      <c r="D7" s="676" t="s">
        <v>53</v>
      </c>
      <c r="E7" s="677"/>
      <c r="F7" s="678"/>
      <c r="G7" s="679" t="s">
        <v>80</v>
      </c>
      <c r="H7" s="669" t="s">
        <v>81</v>
      </c>
      <c r="I7" s="600" t="s">
        <v>129</v>
      </c>
      <c r="J7" s="684"/>
      <c r="K7" s="684"/>
      <c r="L7" s="601"/>
      <c r="M7" s="532" t="s">
        <v>108</v>
      </c>
      <c r="N7" s="533"/>
      <c r="O7" s="533"/>
      <c r="P7" s="534"/>
      <c r="Q7" s="314" t="s">
        <v>150</v>
      </c>
      <c r="R7" s="600" t="s">
        <v>109</v>
      </c>
      <c r="S7" s="684"/>
      <c r="T7" s="684"/>
      <c r="U7" s="601"/>
      <c r="V7" s="676" t="s">
        <v>110</v>
      </c>
      <c r="W7" s="677"/>
      <c r="X7" s="677"/>
      <c r="Y7" s="678"/>
      <c r="Z7" s="685" t="s">
        <v>57</v>
      </c>
      <c r="AA7" s="686"/>
      <c r="AB7" s="686"/>
      <c r="AC7" s="687"/>
      <c r="AD7" s="681" t="s">
        <v>119</v>
      </c>
      <c r="AE7" s="682"/>
      <c r="AF7" s="682"/>
      <c r="AG7" s="683"/>
      <c r="AH7" s="314" t="s">
        <v>151</v>
      </c>
      <c r="AI7" s="63" t="s">
        <v>120</v>
      </c>
    </row>
    <row r="8" spans="1:35" s="2" customFormat="1" ht="83.5" customHeight="1" thickBot="1" x14ac:dyDescent="0.25">
      <c r="A8" s="607"/>
      <c r="B8" s="673"/>
      <c r="C8" s="675"/>
      <c r="D8" s="29" t="s">
        <v>59</v>
      </c>
      <c r="E8" s="30" t="s">
        <v>86</v>
      </c>
      <c r="F8" s="31" t="s">
        <v>87</v>
      </c>
      <c r="G8" s="680"/>
      <c r="H8" s="670"/>
      <c r="I8" s="27" t="s">
        <v>64</v>
      </c>
      <c r="J8" s="32" t="s">
        <v>88</v>
      </c>
      <c r="K8" s="32" t="s">
        <v>89</v>
      </c>
      <c r="L8" s="28" t="s">
        <v>47</v>
      </c>
      <c r="M8" s="27" t="s">
        <v>64</v>
      </c>
      <c r="N8" s="32" t="s">
        <v>88</v>
      </c>
      <c r="O8" s="32" t="s">
        <v>89</v>
      </c>
      <c r="P8" s="28" t="s">
        <v>47</v>
      </c>
      <c r="Q8" s="531" t="s">
        <v>96</v>
      </c>
      <c r="R8" s="27" t="s">
        <v>64</v>
      </c>
      <c r="S8" s="32" t="s">
        <v>88</v>
      </c>
      <c r="T8" s="32" t="s">
        <v>89</v>
      </c>
      <c r="U8" s="28" t="s">
        <v>47</v>
      </c>
      <c r="V8" s="27" t="s">
        <v>64</v>
      </c>
      <c r="W8" s="32" t="s">
        <v>88</v>
      </c>
      <c r="X8" s="32" t="s">
        <v>89</v>
      </c>
      <c r="Y8" s="28" t="s">
        <v>47</v>
      </c>
      <c r="Z8" s="27" t="s">
        <v>90</v>
      </c>
      <c r="AA8" s="32" t="s">
        <v>91</v>
      </c>
      <c r="AB8" s="32" t="s">
        <v>92</v>
      </c>
      <c r="AC8" s="28" t="s">
        <v>47</v>
      </c>
      <c r="AD8" s="27" t="s">
        <v>90</v>
      </c>
      <c r="AE8" s="33" t="s">
        <v>93</v>
      </c>
      <c r="AF8" s="32" t="s">
        <v>94</v>
      </c>
      <c r="AG8" s="32" t="s">
        <v>95</v>
      </c>
      <c r="AH8" s="32" t="s">
        <v>96</v>
      </c>
      <c r="AI8" s="28" t="s">
        <v>97</v>
      </c>
    </row>
    <row r="9" spans="1:35" ht="83.5" customHeight="1" x14ac:dyDescent="0.2">
      <c r="A9" s="4">
        <v>1</v>
      </c>
      <c r="B9" s="62"/>
      <c r="C9" s="111" t="s">
        <v>121</v>
      </c>
      <c r="D9" s="111"/>
      <c r="E9" s="111"/>
      <c r="F9" s="111"/>
      <c r="G9" s="112"/>
      <c r="H9" s="113"/>
      <c r="I9" s="317">
        <v>0</v>
      </c>
      <c r="J9" s="10">
        <v>0</v>
      </c>
      <c r="K9" s="578">
        <f>Well[[#This Row],[Column7]]-Well[[#This Row],[Column8]]</f>
        <v>0</v>
      </c>
      <c r="L9" s="561">
        <f>IFERROR(Well[[#This Row],[Column8]]/Well[[#This Row],[Column7]],0)</f>
        <v>0</v>
      </c>
      <c r="M9" s="317">
        <v>0</v>
      </c>
      <c r="N9" s="10">
        <v>0</v>
      </c>
      <c r="O9" s="578">
        <f>Well[[#This Row],[Column10]]-Well[[#This Row],[Column11]]</f>
        <v>0</v>
      </c>
      <c r="P9" s="561">
        <f>IFERROR(N9/M9,0)</f>
        <v>0</v>
      </c>
      <c r="Q9" s="561">
        <f>IFERROR(Well[[#This Row],[Column10]]/Well[[#This Row],[Column7]],0)</f>
        <v>0</v>
      </c>
      <c r="R9" s="317">
        <v>0</v>
      </c>
      <c r="S9" s="10">
        <v>0</v>
      </c>
      <c r="T9" s="578">
        <f>Well[[#This Row],[Column23]]-Well[[#This Row],[Column27]]</f>
        <v>0</v>
      </c>
      <c r="U9" s="561">
        <f>IFERROR(Well[[#This Row],[Column27]]/Well[[#This Row],[Column23]],0)</f>
        <v>0</v>
      </c>
      <c r="V9" s="317">
        <v>0</v>
      </c>
      <c r="W9" s="10">
        <v>0</v>
      </c>
      <c r="X9" s="578">
        <f>Well[[#This Row],[Column15]]-Well[[#This Row],[Column16]]</f>
        <v>0</v>
      </c>
      <c r="Y9" s="561">
        <f>IFERROR(W9/V9,0)</f>
        <v>0</v>
      </c>
      <c r="Z9" s="320">
        <v>0</v>
      </c>
      <c r="AA9" s="34">
        <v>0</v>
      </c>
      <c r="AB9" s="583">
        <f>Well[[#This Row],[Column19]]-Well[[#This Row],[Column20]]</f>
        <v>0</v>
      </c>
      <c r="AC9" s="584">
        <f>IFERROR(AA9/Z9,0)</f>
        <v>0</v>
      </c>
      <c r="AD9" s="323">
        <v>0</v>
      </c>
      <c r="AE9" s="324">
        <v>0</v>
      </c>
      <c r="AF9" s="583">
        <f>Well[[#This Row],[Column24]]-Well[[#This Row],[Column30]]</f>
        <v>0</v>
      </c>
      <c r="AG9" s="584">
        <f>IFERROR(Well[[#This Row],[Column30]]/Well[[#This Row],[Column24]],0)</f>
        <v>0</v>
      </c>
      <c r="AH9" s="35">
        <f>IFERROR(Well[[#This Row],[Column24]]/Well[[#This Row],[Column19]],0)</f>
        <v>0</v>
      </c>
      <c r="AI9" s="325"/>
    </row>
    <row r="10" spans="1:35" ht="83.5" customHeight="1" x14ac:dyDescent="0.2">
      <c r="A10" s="4">
        <v>2</v>
      </c>
      <c r="B10" s="62"/>
      <c r="C10" s="111" t="s">
        <v>121</v>
      </c>
      <c r="D10" s="111"/>
      <c r="E10" s="111"/>
      <c r="F10" s="111"/>
      <c r="G10" s="126"/>
      <c r="H10" s="127"/>
      <c r="I10" s="118">
        <v>0</v>
      </c>
      <c r="J10" s="119">
        <v>0</v>
      </c>
      <c r="K10" s="579">
        <f>Well[[#This Row],[Column7]]-Well[[#This Row],[Column8]]</f>
        <v>0</v>
      </c>
      <c r="L10" s="580">
        <f>IFERROR(Well[[#This Row],[Column8]]/Well[[#This Row],[Column7]],0)</f>
        <v>0</v>
      </c>
      <c r="M10" s="118">
        <v>0</v>
      </c>
      <c r="N10" s="119">
        <v>0</v>
      </c>
      <c r="O10" s="579">
        <f>Well[[#This Row],[Column10]]-Well[[#This Row],[Column11]]</f>
        <v>0</v>
      </c>
      <c r="P10" s="580">
        <f t="shared" ref="P10:P12" si="0">IFERROR(N10/M10,0)</f>
        <v>0</v>
      </c>
      <c r="Q10" s="580">
        <f>IFERROR(Well[[#This Row],[Column10]]/Well[[#This Row],[Column7]],0)</f>
        <v>0</v>
      </c>
      <c r="R10" s="118">
        <v>0</v>
      </c>
      <c r="S10" s="119">
        <v>0</v>
      </c>
      <c r="T10" s="579">
        <f>Well[[#This Row],[Column23]]-Well[[#This Row],[Column27]]</f>
        <v>0</v>
      </c>
      <c r="U10" s="580">
        <f>IFERROR(Well[[#This Row],[Column27]]/Well[[#This Row],[Column23]],0)</f>
        <v>0</v>
      </c>
      <c r="V10" s="118">
        <v>0</v>
      </c>
      <c r="W10" s="119">
        <v>0</v>
      </c>
      <c r="X10" s="579">
        <f>Well[[#This Row],[Column15]]-Well[[#This Row],[Column16]]</f>
        <v>0</v>
      </c>
      <c r="Y10" s="580">
        <f>IFERROR(W12/V12,0)</f>
        <v>0</v>
      </c>
      <c r="Z10" s="121">
        <v>0</v>
      </c>
      <c r="AA10" s="122">
        <v>0</v>
      </c>
      <c r="AB10" s="585">
        <f>Well[[#This Row],[Column19]]-Well[[#This Row],[Column20]]</f>
        <v>0</v>
      </c>
      <c r="AC10" s="586">
        <f t="shared" ref="AC10:AC12" si="1">IFERROR(AA10/Z10,0)</f>
        <v>0</v>
      </c>
      <c r="AD10" s="124">
        <v>0</v>
      </c>
      <c r="AE10" s="125">
        <v>0</v>
      </c>
      <c r="AF10" s="585">
        <f>Well[[#This Row],[Column24]]-Well[[#This Row],[Column30]]</f>
        <v>0</v>
      </c>
      <c r="AG10" s="586">
        <f>IFERROR(Well[[#This Row],[Column30]]/Well[[#This Row],[Column24]],0)</f>
        <v>0</v>
      </c>
      <c r="AH10" s="6">
        <f>IFERROR(Well[[#This Row],[Column24]]/Well[[#This Row],[Column19]],0)</f>
        <v>0</v>
      </c>
      <c r="AI10" s="130"/>
    </row>
    <row r="11" spans="1:35" ht="83.5" customHeight="1" x14ac:dyDescent="0.2">
      <c r="A11" s="4">
        <v>3</v>
      </c>
      <c r="B11" s="62"/>
      <c r="C11" s="111" t="s">
        <v>121</v>
      </c>
      <c r="D11" s="111"/>
      <c r="E11" s="111"/>
      <c r="F11" s="111"/>
      <c r="G11" s="126"/>
      <c r="H11" s="127"/>
      <c r="I11" s="118">
        <v>0</v>
      </c>
      <c r="J11" s="119">
        <v>0</v>
      </c>
      <c r="K11" s="579">
        <f>Well[[#This Row],[Column7]]-Well[[#This Row],[Column8]]</f>
        <v>0</v>
      </c>
      <c r="L11" s="580">
        <f>IFERROR(Well[[#This Row],[Column8]]/Well[[#This Row],[Column7]],0)</f>
        <v>0</v>
      </c>
      <c r="M11" s="118">
        <v>0</v>
      </c>
      <c r="N11" s="119">
        <v>0</v>
      </c>
      <c r="O11" s="579">
        <f>Well[[#This Row],[Column10]]-Well[[#This Row],[Column11]]</f>
        <v>0</v>
      </c>
      <c r="P11" s="580">
        <f t="shared" si="0"/>
        <v>0</v>
      </c>
      <c r="Q11" s="580">
        <f>IFERROR(Well[[#This Row],[Column10]]/Well[[#This Row],[Column7]],0)</f>
        <v>0</v>
      </c>
      <c r="R11" s="118">
        <v>0</v>
      </c>
      <c r="S11" s="119">
        <v>0</v>
      </c>
      <c r="T11" s="579">
        <f>Well[[#This Row],[Column23]]-Well[[#This Row],[Column27]]</f>
        <v>0</v>
      </c>
      <c r="U11" s="580">
        <f>IFERROR(Well[[#This Row],[Column27]]/Well[[#This Row],[Column23]],0)</f>
        <v>0</v>
      </c>
      <c r="V11" s="118">
        <v>0</v>
      </c>
      <c r="W11" s="119">
        <v>0</v>
      </c>
      <c r="X11" s="579">
        <f>Well[[#This Row],[Column15]]-Well[[#This Row],[Column16]]</f>
        <v>0</v>
      </c>
      <c r="Y11" s="580">
        <f>IFERROR(W11/V11,0)</f>
        <v>0</v>
      </c>
      <c r="Z11" s="121">
        <v>0</v>
      </c>
      <c r="AA11" s="122">
        <v>0</v>
      </c>
      <c r="AB11" s="585">
        <f>Well[[#This Row],[Column19]]-Well[[#This Row],[Column20]]</f>
        <v>0</v>
      </c>
      <c r="AC11" s="586">
        <f t="shared" si="1"/>
        <v>0</v>
      </c>
      <c r="AD11" s="124">
        <v>0</v>
      </c>
      <c r="AE11" s="125">
        <v>0</v>
      </c>
      <c r="AF11" s="585">
        <f>Well[[#This Row],[Column24]]-Well[[#This Row],[Column30]]</f>
        <v>0</v>
      </c>
      <c r="AG11" s="586">
        <f>IFERROR(Well[[#This Row],[Column30]]/Well[[#This Row],[Column24]],0)</f>
        <v>0</v>
      </c>
      <c r="AH11" s="6">
        <f>IFERROR(Well[[#This Row],[Column24]]/Well[[#This Row],[Column19]],0)</f>
        <v>0</v>
      </c>
      <c r="AI11" s="36"/>
    </row>
    <row r="12" spans="1:35" ht="73" thickBot="1" x14ac:dyDescent="0.25">
      <c r="A12" s="4">
        <v>4</v>
      </c>
      <c r="B12" s="62"/>
      <c r="C12" s="111" t="s">
        <v>121</v>
      </c>
      <c r="D12" s="111"/>
      <c r="E12" s="111"/>
      <c r="F12" s="111"/>
      <c r="G12" s="131"/>
      <c r="H12" s="132"/>
      <c r="I12" s="137">
        <v>0</v>
      </c>
      <c r="J12" s="75">
        <v>0</v>
      </c>
      <c r="K12" s="581">
        <f>Well[[#This Row],[Column7]]-Well[[#This Row],[Column8]]</f>
        <v>0</v>
      </c>
      <c r="L12" s="582">
        <f>IFERROR(Well[[#This Row],[Column8]]/Well[[#This Row],[Column7]],0)</f>
        <v>0</v>
      </c>
      <c r="M12" s="137">
        <v>0</v>
      </c>
      <c r="N12" s="75">
        <v>0</v>
      </c>
      <c r="O12" s="581">
        <f>Well[[#This Row],[Column10]]-Well[[#This Row],[Column11]]</f>
        <v>0</v>
      </c>
      <c r="P12" s="582">
        <f t="shared" si="0"/>
        <v>0</v>
      </c>
      <c r="Q12" s="582">
        <f>IFERROR(Well[[#This Row],[Column10]]/Well[[#This Row],[Column7]],0)</f>
        <v>0</v>
      </c>
      <c r="R12" s="137">
        <v>0</v>
      </c>
      <c r="S12" s="75">
        <v>0</v>
      </c>
      <c r="T12" s="581">
        <f>Well[[#This Row],[Column23]]-Well[[#This Row],[Column27]]</f>
        <v>0</v>
      </c>
      <c r="U12" s="582">
        <f>IFERROR(Well[[#This Row],[Column27]]/Well[[#This Row],[Column23]],0)</f>
        <v>0</v>
      </c>
      <c r="V12" s="137">
        <v>0</v>
      </c>
      <c r="W12" s="75">
        <v>0</v>
      </c>
      <c r="X12" s="581">
        <f>Well[[#This Row],[Column15]]-Well[[#This Row],[Column16]]</f>
        <v>0</v>
      </c>
      <c r="Y12" s="582">
        <f>IFERROR(W12/V12,0)</f>
        <v>0</v>
      </c>
      <c r="Z12" s="139">
        <v>0</v>
      </c>
      <c r="AA12" s="140">
        <v>0</v>
      </c>
      <c r="AB12" s="587">
        <f>Well[[#This Row],[Column19]]-Well[[#This Row],[Column20]]</f>
        <v>0</v>
      </c>
      <c r="AC12" s="588">
        <f t="shared" si="1"/>
        <v>0</v>
      </c>
      <c r="AD12" s="142">
        <v>0</v>
      </c>
      <c r="AE12" s="143">
        <v>0</v>
      </c>
      <c r="AF12" s="587">
        <f>Well[[#This Row],[Column24]]-Well[[#This Row],[Column30]]</f>
        <v>0</v>
      </c>
      <c r="AG12" s="588">
        <f>IFERROR(Well[[#This Row],[Column30]]/Well[[#This Row],[Column24]],0)</f>
        <v>0</v>
      </c>
      <c r="AH12" s="144">
        <f>IFERROR(Well[[#This Row],[Column24]]/Well[[#This Row],[Column19]],0)</f>
        <v>0</v>
      </c>
      <c r="AI12" s="85"/>
    </row>
    <row r="13" spans="1:35" ht="83.5" customHeight="1" thickBot="1" x14ac:dyDescent="0.25">
      <c r="A13" s="87"/>
      <c r="B13" s="88"/>
      <c r="C13" s="89"/>
      <c r="D13" s="311" t="s">
        <v>70</v>
      </c>
      <c r="E13" s="90"/>
      <c r="F13" s="91"/>
      <c r="G13" s="312"/>
      <c r="H13" s="313"/>
      <c r="I13" s="92">
        <f>SUBTOTAL(109,Well[Column7])</f>
        <v>0</v>
      </c>
      <c r="J13" s="93">
        <f>SUBTOTAL(109,Well[Column8])</f>
        <v>0</v>
      </c>
      <c r="K13" s="93">
        <f>SUBTOTAL(109,Well[Column9])</f>
        <v>0</v>
      </c>
      <c r="L13" s="95">
        <f>IFERROR(Well[[#Totals],[Column8]]/Well[[#Totals],[Column7]],0)</f>
        <v>0</v>
      </c>
      <c r="M13" s="92">
        <f>SUBTOTAL(109,Well[Column10])</f>
        <v>0</v>
      </c>
      <c r="N13" s="93">
        <f>SUBTOTAL(109,Well[Column11])</f>
        <v>0</v>
      </c>
      <c r="O13" s="93">
        <f>SUBTOTAL(109,Well[Column12])</f>
        <v>0</v>
      </c>
      <c r="P13" s="95">
        <f>IFERROR(Well[[#Totals],[Column11]]/Well[[#Totals],[Column10]],0)</f>
        <v>0</v>
      </c>
      <c r="Q13" s="95">
        <f>IFERROR(Well[[#Totals],[Column10]]/Well[[#Totals],[Column7]],0)</f>
        <v>0</v>
      </c>
      <c r="R13" s="92">
        <f>SUBTOTAL(109,Well[Column23])</f>
        <v>0</v>
      </c>
      <c r="S13" s="88">
        <f>SUBTOTAL(109,Well[Column27])</f>
        <v>0</v>
      </c>
      <c r="T13" s="88">
        <f>SUBTOTAL(109,Well[Column28])</f>
        <v>0</v>
      </c>
      <c r="U13" s="95">
        <f>IFERROR(Well[[#Totals],[Column27]]/Well[[#Totals],[Column23]],0)</f>
        <v>0</v>
      </c>
      <c r="V13" s="92">
        <f>SUBTOTAL(109,Well[Column15])</f>
        <v>0</v>
      </c>
      <c r="W13" s="88">
        <f>SUBTOTAL(109,Well[Column16])</f>
        <v>0</v>
      </c>
      <c r="X13" s="88">
        <f>SUBTOTAL(109,Well[Column17])</f>
        <v>0</v>
      </c>
      <c r="Y13" s="95">
        <f>IFERROR(Well[[#Totals],[Column16]]/Well[[#Totals],[Column15]],0)</f>
        <v>0</v>
      </c>
      <c r="Z13" s="96">
        <f>SUBTOTAL(109,Well[Column19])</f>
        <v>0</v>
      </c>
      <c r="AA13" s="94">
        <f>SUBTOTAL(109,Well[Column20])</f>
        <v>0</v>
      </c>
      <c r="AB13" s="94">
        <f>SUBTOTAL(109,Well[Column21])</f>
        <v>0</v>
      </c>
      <c r="AC13" s="95">
        <f>IFERROR(Well[[#Totals],[Column20]]/Well[[#Totals],[Column19]],0)</f>
        <v>0</v>
      </c>
      <c r="AD13" s="96">
        <f>SUBTOTAL(109,Well[Column24])</f>
        <v>0</v>
      </c>
      <c r="AE13" s="338">
        <f>SUBTOTAL(109,Well[Column30])</f>
        <v>0</v>
      </c>
      <c r="AF13" s="94">
        <f>SUBTOTAL(109,Well[Column29])</f>
        <v>0</v>
      </c>
      <c r="AG13" s="97">
        <f>IFERROR(Well[[#Totals],[Column30]]/Well[[#Totals],[Column24]],0)</f>
        <v>0</v>
      </c>
      <c r="AH13" s="98">
        <f>IFERROR(Well[[#Totals],[Column24]]/Well[[#Totals],[Column19]],0)</f>
        <v>0</v>
      </c>
      <c r="AI13" s="91"/>
    </row>
    <row r="14" spans="1:35" ht="18" thickBot="1" x14ac:dyDescent="0.25">
      <c r="A14" s="326" t="s">
        <v>122</v>
      </c>
      <c r="B14" s="327"/>
      <c r="C14" s="327"/>
      <c r="D14" s="327"/>
      <c r="E14" s="327"/>
      <c r="F14" s="327"/>
      <c r="G14" s="327"/>
      <c r="H14" s="327"/>
      <c r="I14" s="327"/>
      <c r="J14" s="327"/>
      <c r="K14" s="327"/>
      <c r="L14" s="327"/>
      <c r="M14" s="327"/>
      <c r="N14" s="327"/>
      <c r="O14" s="327"/>
      <c r="P14" s="327"/>
      <c r="Q14" s="327"/>
      <c r="R14" s="327"/>
      <c r="S14" s="327"/>
      <c r="T14" s="327"/>
      <c r="U14" s="327"/>
      <c r="V14" s="327"/>
      <c r="W14" s="327"/>
      <c r="X14" s="327"/>
      <c r="Y14" s="327"/>
      <c r="Z14" s="327"/>
      <c r="AA14" s="327"/>
      <c r="AB14" s="327"/>
      <c r="AC14" s="327"/>
      <c r="AD14" s="327"/>
      <c r="AE14" s="327"/>
      <c r="AF14" s="327"/>
      <c r="AG14" s="327"/>
      <c r="AH14" s="327"/>
      <c r="AI14" s="328"/>
    </row>
  </sheetData>
  <sheetProtection formatCells="0" formatRows="0" insertRows="0" deleteRows="0" sort="0" autoFilter="0" pivotTables="0"/>
  <mergeCells count="11">
    <mergeCell ref="AD7:AG7"/>
    <mergeCell ref="I7:L7"/>
    <mergeCell ref="R7:U7"/>
    <mergeCell ref="V7:Y7"/>
    <mergeCell ref="Z7:AC7"/>
    <mergeCell ref="H7:H8"/>
    <mergeCell ref="A7:A8"/>
    <mergeCell ref="B7:B8"/>
    <mergeCell ref="C7:C8"/>
    <mergeCell ref="D7:F7"/>
    <mergeCell ref="G7:G8"/>
  </mergeCells>
  <dataValidations count="3">
    <dataValidation allowBlank="1" showInputMessage="1" showErrorMessage="1" prompt="Please fill in the cell with text" sqref="B9:F12" xr:uid="{95389D09-9239-4E26-9D65-F5A5738F453F}"/>
    <dataValidation type="decimal" allowBlank="1" showInputMessage="1" showErrorMessage="1" errorTitle="NOTICE!" error="Input only numbers" prompt="Input only numbers " sqref="I9:J12 M9:N12 R9:S12 V9:W12 Z9:AA12 AD9:AE12" xr:uid="{D7726389-0AE6-4B13-9032-C97983A52D4C}">
      <formula1>0</formula1>
      <formula2>100000000000</formula2>
    </dataValidation>
    <dataValidation type="custom" allowBlank="1" showInputMessage="1" showErrorMessage="1" errorTitle="NOTICE!" error="Please don’t input any value in this cell, there is formula" promptTitle="NOTICE!" prompt="Please don’t input any value in this cell, there is formula" sqref="K9:L12 O9:Q12 T9:U12 X9:Y12 AB9:AC12 AF9:AG12" xr:uid="{B6179B49-F1FB-4C47-8DBE-2424EA0379D4}">
      <formula1>"Please don’t input any value in this cell, there is formula"</formula1>
    </dataValidation>
  </dataValidations>
  <pageMargins left="0.7" right="0.7" top="0.75" bottom="0.75" header="0.3" footer="0.3"/>
  <pageSetup paperSize="9" orientation="portrait" verticalDpi="4294967295"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35df86-e6da-4875-b8d8-328093665827">
      <Terms xmlns="http://schemas.microsoft.com/office/infopath/2007/PartnerControls"/>
    </lcf76f155ced4ddcb4097134ff3c332f>
    <TaxCatchAll xmlns="d71e7f05-3296-44e3-b914-2027843a4b6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30096FF514460419F0180AFE588325E" ma:contentTypeVersion="20" ma:contentTypeDescription="Create a new document." ma:contentTypeScope="" ma:versionID="1c08af30db49f5968071d47df39ff832">
  <xsd:schema xmlns:xsd="http://www.w3.org/2001/XMLSchema" xmlns:xs="http://www.w3.org/2001/XMLSchema" xmlns:p="http://schemas.microsoft.com/office/2006/metadata/properties" xmlns:ns2="8535df86-e6da-4875-b8d8-328093665827" xmlns:ns3="d71e7f05-3296-44e3-b914-2027843a4b68" targetNamespace="http://schemas.microsoft.com/office/2006/metadata/properties" ma:root="true" ma:fieldsID="9b05d80d31a4bfc60cf88ade79b69d69" ns2:_="" ns3:_="">
    <xsd:import namespace="8535df86-e6da-4875-b8d8-328093665827"/>
    <xsd:import namespace="d71e7f05-3296-44e3-b914-2027843a4b6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35df86-e6da-4875-b8d8-3280936658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bbcf2ca-7788-4c5a-8d13-3cb70cb111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1e7f05-3296-44e3-b914-2027843a4b68"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4814e1d-878b-49c7-98ff-84275b6712b1}" ma:internalName="TaxCatchAll" ma:showField="CatchAllData" ma:web="d71e7f05-3296-44e3-b914-2027843a4b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C8011E-6A7B-4072-9BEB-1E0AA1D32F37}">
  <ds:schemaRefs>
    <ds:schemaRef ds:uri="http://purl.org/dc/terms/"/>
    <ds:schemaRef ds:uri="8535df86-e6da-4875-b8d8-328093665827"/>
    <ds:schemaRef ds:uri="http://schemas.microsoft.com/office/2006/metadata/properties"/>
    <ds:schemaRef ds:uri="http://schemas.openxmlformats.org/package/2006/metadata/core-properties"/>
    <ds:schemaRef ds:uri="http://purl.org/dc/elements/1.1/"/>
    <ds:schemaRef ds:uri="http://schemas.microsoft.com/office/2006/documentManagement/types"/>
    <ds:schemaRef ds:uri="d71e7f05-3296-44e3-b914-2027843a4b68"/>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19EAFA63-0F29-4AAE-8B67-2F34AAEC86DB}">
  <ds:schemaRefs>
    <ds:schemaRef ds:uri="http://schemas.microsoft.com/sharepoint/v3/contenttype/forms"/>
  </ds:schemaRefs>
</ds:datastoreItem>
</file>

<file path=customXml/itemProps3.xml><?xml version="1.0" encoding="utf-8"?>
<ds:datastoreItem xmlns:ds="http://schemas.openxmlformats.org/officeDocument/2006/customXml" ds:itemID="{170D1A5F-2E49-47A0-BCA0-387B0D155F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35df86-e6da-4875-b8d8-328093665827"/>
    <ds:schemaRef ds:uri="d71e7f05-3296-44e3-b914-2027843a4b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23</vt:i4>
      </vt:variant>
      <vt:variant>
        <vt:lpstr>Named Ranges</vt:lpstr>
      </vt:variant>
      <vt:variant>
        <vt:i4>8</vt:i4>
      </vt:variant>
    </vt:vector>
  </HeadingPairs>
  <TitlesOfParts>
    <vt:vector size="31" baseType="lpstr">
      <vt:lpstr>NC Schedule</vt:lpstr>
      <vt:lpstr>Plan-NCCC</vt:lpstr>
      <vt:lpstr>Instruction </vt:lpstr>
      <vt:lpstr>Chart</vt:lpstr>
      <vt:lpstr>Summary</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'#1'!Print_Area</vt:lpstr>
      <vt:lpstr>'#12'!Print_Area</vt:lpstr>
      <vt:lpstr>'#13'!Print_Area</vt:lpstr>
      <vt:lpstr>'#2'!Print_Area</vt:lpstr>
      <vt:lpstr>'#4'!Print_Area</vt:lpstr>
      <vt:lpstr>'#7'!Print_Area</vt:lpstr>
      <vt:lpstr>'#8'!Print_Area</vt:lpstr>
      <vt:lpstr>'#1'!Print_Titles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Endurance</dc:creator>
  <cp:keywords/>
  <dc:description/>
  <cp:lastModifiedBy>Ajayi Israel Oluwafemi</cp:lastModifiedBy>
  <cp:revision/>
  <dcterms:created xsi:type="dcterms:W3CDTF">2023-06-05T13:04:52Z</dcterms:created>
  <dcterms:modified xsi:type="dcterms:W3CDTF">2025-03-11T11:38:24Z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0x010100030096FF514460419F0180AFE588325E</vt:lpwstr>
  </property>
  <property fmtid="{D5CDD505-2E9C-101B-9397-08002B2CF9AE}" pid="3" name="MediaServiceImageTags">
    <vt:lpwstr/>
  </property>
</Properties>
</file>